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9750"/>
  </bookViews>
  <sheets>
    <sheet name="Приложение №5" sheetId="1" r:id="rId1"/>
    <sheet name="Лист2" sheetId="2" r:id="rId2"/>
    <sheet name="Лист3" sheetId="3" r:id="rId3"/>
  </sheets>
  <definedNames>
    <definedName name="_xlnm._FilterDatabase" localSheetId="0" hidden="1">'Приложение №5'!$A$10:$I$1075</definedName>
    <definedName name="_xlnm.Print_Area" localSheetId="0">'Приложение №5'!$A$1:$I$1076</definedName>
  </definedNames>
  <calcPr calcId="145621"/>
</workbook>
</file>

<file path=xl/calcChain.xml><?xml version="1.0" encoding="utf-8"?>
<calcChain xmlns="http://schemas.openxmlformats.org/spreadsheetml/2006/main">
  <c r="I866" i="1" l="1"/>
  <c r="H866" i="1"/>
  <c r="I864" i="1"/>
  <c r="H864" i="1"/>
  <c r="H902" i="1"/>
  <c r="H901" i="1" s="1"/>
  <c r="I902" i="1"/>
  <c r="I901" i="1" s="1"/>
  <c r="G902" i="1"/>
  <c r="G901" i="1" s="1"/>
  <c r="H870" i="1"/>
  <c r="I870" i="1"/>
  <c r="G870" i="1"/>
  <c r="G865" i="1"/>
  <c r="G864" i="1"/>
  <c r="G848" i="1"/>
  <c r="G849" i="1"/>
  <c r="H867" i="1"/>
  <c r="I867" i="1"/>
  <c r="G867" i="1"/>
  <c r="H785" i="1"/>
  <c r="I785" i="1"/>
  <c r="G785" i="1"/>
  <c r="G772" i="1"/>
  <c r="G761" i="1"/>
  <c r="G715" i="1"/>
  <c r="G714" i="1"/>
  <c r="H823" i="1"/>
  <c r="H822" i="1" s="1"/>
  <c r="I823" i="1"/>
  <c r="I822" i="1" s="1"/>
  <c r="G823" i="1"/>
  <c r="G822" i="1" s="1"/>
  <c r="H797" i="1"/>
  <c r="H796" i="1" s="1"/>
  <c r="I797" i="1"/>
  <c r="I796" i="1" s="1"/>
  <c r="G797" i="1"/>
  <c r="G796" i="1" s="1"/>
  <c r="H738" i="1"/>
  <c r="I738" i="1"/>
  <c r="I737" i="1" s="1"/>
  <c r="G738" i="1"/>
  <c r="G737" i="1" s="1"/>
  <c r="H737" i="1"/>
  <c r="G725" i="1"/>
  <c r="G724" i="1"/>
  <c r="H1010" i="1"/>
  <c r="H1011" i="1"/>
  <c r="I1011" i="1"/>
  <c r="I1010" i="1" s="1"/>
  <c r="G1011" i="1"/>
  <c r="G1010" i="1" s="1"/>
  <c r="H1003" i="1"/>
  <c r="H1002" i="1" s="1"/>
  <c r="I1003" i="1"/>
  <c r="G1003" i="1"/>
  <c r="G1002" i="1" s="1"/>
  <c r="I1002" i="1"/>
  <c r="H991" i="1"/>
  <c r="H992" i="1"/>
  <c r="I992" i="1"/>
  <c r="I991" i="1" s="1"/>
  <c r="G992" i="1"/>
  <c r="G991" i="1" s="1"/>
  <c r="H942" i="1"/>
  <c r="H941" i="1" s="1"/>
  <c r="I942" i="1"/>
  <c r="I941" i="1" s="1"/>
  <c r="G942" i="1"/>
  <c r="G941" i="1" s="1"/>
  <c r="G1024" i="1"/>
  <c r="G1021" i="1"/>
  <c r="G1020" i="1"/>
  <c r="H1026" i="1"/>
  <c r="I1026" i="1"/>
  <c r="G1026" i="1"/>
  <c r="H1042" i="1"/>
  <c r="I1042" i="1"/>
  <c r="G1042" i="1"/>
  <c r="G1061" i="1"/>
  <c r="G1059" i="1"/>
  <c r="G1058" i="1"/>
  <c r="G1056" i="1"/>
  <c r="G1050" i="1"/>
  <c r="H1063" i="1"/>
  <c r="I1063" i="1"/>
  <c r="G1063" i="1"/>
  <c r="H415" i="1"/>
  <c r="H658" i="1"/>
  <c r="H657" i="1" s="1"/>
  <c r="I658" i="1"/>
  <c r="I657" i="1" s="1"/>
  <c r="G658" i="1"/>
  <c r="G657" i="1" s="1"/>
  <c r="H641" i="1"/>
  <c r="H640" i="1" s="1"/>
  <c r="I641" i="1"/>
  <c r="I640" i="1" s="1"/>
  <c r="G641" i="1"/>
  <c r="G640" i="1" s="1"/>
  <c r="G633" i="1"/>
  <c r="G630" i="1"/>
  <c r="H589" i="1"/>
  <c r="H588" i="1" s="1"/>
  <c r="I589" i="1"/>
  <c r="I588" i="1" s="1"/>
  <c r="G589" i="1"/>
  <c r="G588" i="1" s="1"/>
  <c r="G579" i="1"/>
  <c r="H560" i="1"/>
  <c r="H559" i="1" s="1"/>
  <c r="I560" i="1"/>
  <c r="I559" i="1" s="1"/>
  <c r="G560" i="1"/>
  <c r="G559" i="1" s="1"/>
  <c r="G544" i="1"/>
  <c r="H522" i="1"/>
  <c r="H521" i="1" s="1"/>
  <c r="I522" i="1"/>
  <c r="I521" i="1" s="1"/>
  <c r="G522" i="1"/>
  <c r="G521" i="1" s="1"/>
  <c r="H478" i="1"/>
  <c r="H477" i="1" s="1"/>
  <c r="I478" i="1"/>
  <c r="I477" i="1" s="1"/>
  <c r="G478" i="1"/>
  <c r="G477" i="1" s="1"/>
  <c r="H448" i="1"/>
  <c r="I448" i="1"/>
  <c r="G448" i="1"/>
  <c r="H370" i="1"/>
  <c r="I370" i="1"/>
  <c r="G370" i="1"/>
  <c r="G369" i="1"/>
  <c r="H424" i="1"/>
  <c r="H423" i="1" s="1"/>
  <c r="I424" i="1"/>
  <c r="I423" i="1" s="1"/>
  <c r="G424" i="1"/>
  <c r="G423" i="1" s="1"/>
  <c r="G393" i="1"/>
  <c r="G327" i="1"/>
  <c r="G325" i="1"/>
  <c r="H355" i="1"/>
  <c r="I355" i="1"/>
  <c r="G355" i="1"/>
  <c r="G341" i="1"/>
  <c r="G329" i="1"/>
  <c r="H331" i="1"/>
  <c r="H321" i="1"/>
  <c r="G321" i="1"/>
  <c r="G331" i="1"/>
  <c r="G431" i="1"/>
  <c r="G430" i="1"/>
  <c r="H185" i="1"/>
  <c r="H184" i="1" s="1"/>
  <c r="I185" i="1"/>
  <c r="I184" i="1" s="1"/>
  <c r="G185" i="1"/>
  <c r="G184" i="1" s="1"/>
  <c r="G205" i="1"/>
  <c r="G226" i="1"/>
  <c r="G216" i="1"/>
  <c r="H132" i="1"/>
  <c r="I132" i="1"/>
  <c r="G132" i="1"/>
  <c r="H82" i="1"/>
  <c r="I82" i="1"/>
  <c r="G82" i="1"/>
  <c r="H69" i="1"/>
  <c r="I69" i="1"/>
  <c r="G73" i="1"/>
  <c r="G52" i="1"/>
  <c r="H38" i="1"/>
  <c r="I38" i="1"/>
  <c r="G38" i="1"/>
  <c r="G34" i="1"/>
  <c r="G33" i="1"/>
  <c r="H19" i="1"/>
  <c r="I19" i="1"/>
  <c r="G19" i="1"/>
  <c r="G764" i="1" l="1"/>
  <c r="H1067" i="1" l="1"/>
  <c r="I1067" i="1"/>
  <c r="G1067" i="1"/>
  <c r="H913" i="1"/>
  <c r="H912" i="1" s="1"/>
  <c r="H911" i="1" s="1"/>
  <c r="H910" i="1" s="1"/>
  <c r="I913" i="1"/>
  <c r="I912" i="1" s="1"/>
  <c r="I911" i="1" s="1"/>
  <c r="I910" i="1" s="1"/>
  <c r="G913" i="1"/>
  <c r="G912" i="1" s="1"/>
  <c r="G911" i="1" s="1"/>
  <c r="G910" i="1" s="1"/>
  <c r="H974" i="1"/>
  <c r="I974" i="1"/>
  <c r="G974" i="1"/>
  <c r="H874" i="1"/>
  <c r="H869" i="1" s="1"/>
  <c r="I874" i="1"/>
  <c r="I869" i="1" s="1"/>
  <c r="G874" i="1"/>
  <c r="G869" i="1" s="1"/>
  <c r="H829" i="1"/>
  <c r="H828" i="1" s="1"/>
  <c r="H827" i="1" s="1"/>
  <c r="I829" i="1"/>
  <c r="I828" i="1" s="1"/>
  <c r="I827" i="1" s="1"/>
  <c r="G829" i="1"/>
  <c r="G828" i="1" s="1"/>
  <c r="G827" i="1" s="1"/>
  <c r="G775" i="1"/>
  <c r="G774" i="1"/>
  <c r="G756" i="1"/>
  <c r="G755" i="1"/>
  <c r="G749" i="1"/>
  <c r="G750" i="1"/>
  <c r="G727" i="1"/>
  <c r="G728" i="1"/>
  <c r="G720" i="1"/>
  <c r="H707" i="1"/>
  <c r="H706" i="1" s="1"/>
  <c r="H705" i="1" s="1"/>
  <c r="I707" i="1"/>
  <c r="I706" i="1" s="1"/>
  <c r="I705" i="1" s="1"/>
  <c r="G707" i="1"/>
  <c r="G706" i="1" s="1"/>
  <c r="G705" i="1" s="1"/>
  <c r="H687" i="1"/>
  <c r="H686" i="1" s="1"/>
  <c r="I687" i="1"/>
  <c r="I686" i="1" s="1"/>
  <c r="G687" i="1"/>
  <c r="G686" i="1" s="1"/>
  <c r="G685" i="1" s="1"/>
  <c r="G684" i="1" s="1"/>
  <c r="I685" i="1" l="1"/>
  <c r="I684" i="1" s="1"/>
  <c r="H685" i="1"/>
  <c r="H684" i="1" s="1"/>
  <c r="G631" i="1"/>
  <c r="G436" i="1"/>
  <c r="G415" i="1"/>
  <c r="G402" i="1"/>
  <c r="G338" i="1"/>
  <c r="G343" i="1"/>
  <c r="H310" i="1"/>
  <c r="H311" i="1"/>
  <c r="G311" i="1"/>
  <c r="H314" i="1"/>
  <c r="I314" i="1"/>
  <c r="G314" i="1"/>
  <c r="H316" i="1"/>
  <c r="I316" i="1"/>
  <c r="G316" i="1"/>
  <c r="G303" i="1"/>
  <c r="G293" i="1"/>
  <c r="G292" i="1"/>
  <c r="G289" i="1"/>
  <c r="G288" i="1"/>
  <c r="G262" i="1"/>
  <c r="G260" i="1"/>
  <c r="G249" i="1"/>
  <c r="G247" i="1"/>
  <c r="H222" i="1"/>
  <c r="H218" i="1"/>
  <c r="G228" i="1"/>
  <c r="G224" i="1"/>
  <c r="G203" i="1"/>
  <c r="G196" i="1"/>
  <c r="G157" i="1"/>
  <c r="G158" i="1"/>
  <c r="G145" i="1"/>
  <c r="G108" i="1"/>
  <c r="G107" i="1"/>
  <c r="G81" i="1"/>
  <c r="H42" i="1"/>
  <c r="I42" i="1"/>
  <c r="G42" i="1"/>
  <c r="H23" i="1"/>
  <c r="I23" i="1"/>
  <c r="G23" i="1"/>
  <c r="G290" i="1" l="1"/>
  <c r="G881" i="1" l="1"/>
  <c r="G765" i="1"/>
  <c r="G731" i="1"/>
  <c r="G701" i="1"/>
  <c r="G297" i="1" l="1"/>
  <c r="G255" i="1"/>
  <c r="G208" i="1"/>
  <c r="G210" i="1"/>
  <c r="G214" i="1"/>
  <c r="G118" i="1"/>
  <c r="G119" i="1"/>
  <c r="G113" i="1"/>
  <c r="G130" i="1"/>
  <c r="G79" i="1"/>
  <c r="G670" i="1" l="1"/>
  <c r="I672" i="1"/>
  <c r="H672" i="1"/>
  <c r="G672" i="1"/>
  <c r="I677" i="1"/>
  <c r="H677" i="1"/>
  <c r="G677" i="1"/>
  <c r="H998" i="1"/>
  <c r="I998" i="1"/>
  <c r="G998" i="1"/>
  <c r="H1000" i="1"/>
  <c r="I1000" i="1"/>
  <c r="G1000" i="1"/>
  <c r="H1008" i="1"/>
  <c r="H1007" i="1" s="1"/>
  <c r="H1006" i="1" s="1"/>
  <c r="H1005" i="1" s="1"/>
  <c r="I1008" i="1"/>
  <c r="I1007" i="1" s="1"/>
  <c r="I1006" i="1" s="1"/>
  <c r="I1005" i="1" s="1"/>
  <c r="G1008" i="1"/>
  <c r="G1007" i="1" s="1"/>
  <c r="G1006" i="1" s="1"/>
  <c r="G1005" i="1" s="1"/>
  <c r="G997" i="1" l="1"/>
  <c r="G996" i="1" s="1"/>
  <c r="G995" i="1" s="1"/>
  <c r="H997" i="1"/>
  <c r="H996" i="1" s="1"/>
  <c r="I997" i="1"/>
  <c r="I996" i="1" s="1"/>
  <c r="G994" i="1"/>
  <c r="I899" i="1"/>
  <c r="I898" i="1" s="1"/>
  <c r="H899" i="1"/>
  <c r="H898" i="1" s="1"/>
  <c r="G899" i="1"/>
  <c r="G898" i="1"/>
  <c r="H995" i="1" l="1"/>
  <c r="H994" i="1" s="1"/>
  <c r="I995" i="1"/>
  <c r="I994" i="1" s="1"/>
  <c r="G365" i="1"/>
  <c r="G364" i="1" s="1"/>
  <c r="G842" i="1" l="1"/>
  <c r="G841" i="1"/>
  <c r="G840" i="1"/>
  <c r="H1065" i="1" l="1"/>
  <c r="H1062" i="1" s="1"/>
  <c r="I1065" i="1"/>
  <c r="I1062" i="1" s="1"/>
  <c r="G1065" i="1"/>
  <c r="G1062" i="1" s="1"/>
  <c r="H1028" i="1"/>
  <c r="I1028" i="1"/>
  <c r="G1028" i="1"/>
  <c r="G958" i="1"/>
  <c r="G957" i="1"/>
  <c r="G967" i="1"/>
  <c r="H967" i="1"/>
  <c r="H968" i="1"/>
  <c r="I968" i="1"/>
  <c r="G968" i="1"/>
  <c r="H860" i="1"/>
  <c r="I860" i="1"/>
  <c r="G860" i="1"/>
  <c r="G866" i="1"/>
  <c r="G495" i="1"/>
  <c r="G499" i="1"/>
  <c r="G438" i="1"/>
  <c r="H451" i="1"/>
  <c r="H447" i="1" s="1"/>
  <c r="I451" i="1"/>
  <c r="I447" i="1" s="1"/>
  <c r="G451" i="1"/>
  <c r="G447" i="1" s="1"/>
  <c r="G420" i="1"/>
  <c r="H329" i="1"/>
  <c r="G323" i="1"/>
  <c r="G253" i="1"/>
  <c r="G242" i="1"/>
  <c r="G149" i="1"/>
  <c r="H91" i="1"/>
  <c r="I91" i="1"/>
  <c r="G91" i="1"/>
  <c r="G71" i="1"/>
  <c r="G69" i="1" s="1"/>
  <c r="G41" i="1"/>
  <c r="G240" i="1" l="1"/>
  <c r="G313" i="1" l="1"/>
  <c r="H636" i="1" l="1"/>
  <c r="I636" i="1"/>
  <c r="G636" i="1"/>
  <c r="G628" i="1"/>
  <c r="G553" i="1"/>
  <c r="G538" i="1"/>
  <c r="G503" i="1"/>
  <c r="H439" i="1"/>
  <c r="I439" i="1"/>
  <c r="G439" i="1"/>
  <c r="G410" i="1"/>
  <c r="G416" i="1"/>
  <c r="G350" i="1"/>
  <c r="G348" i="1" s="1"/>
  <c r="G283" i="1"/>
  <c r="G285" i="1"/>
  <c r="H287" i="1"/>
  <c r="I287" i="1"/>
  <c r="G287" i="1"/>
  <c r="H538" i="1"/>
  <c r="H253" i="1"/>
  <c r="H231" i="1"/>
  <c r="I231" i="1"/>
  <c r="G231" i="1"/>
  <c r="G98" i="1"/>
  <c r="H99" i="1"/>
  <c r="I99" i="1"/>
  <c r="G99" i="1"/>
  <c r="H40" i="1"/>
  <c r="H37" i="1" s="1"/>
  <c r="I40" i="1"/>
  <c r="I37" i="1" s="1"/>
  <c r="G40" i="1"/>
  <c r="G37" i="1" s="1"/>
  <c r="G36" i="1"/>
  <c r="H21" i="1"/>
  <c r="H18" i="1" s="1"/>
  <c r="I21" i="1"/>
  <c r="I18" i="1" s="1"/>
  <c r="G21" i="1"/>
  <c r="G18" i="1" s="1"/>
  <c r="H886" i="1" l="1"/>
  <c r="I886" i="1"/>
  <c r="G886" i="1"/>
  <c r="G814" i="1"/>
  <c r="G811" i="1"/>
  <c r="G810" i="1"/>
  <c r="G1055" i="1"/>
  <c r="G116" i="1" l="1"/>
  <c r="H853" i="1" l="1"/>
  <c r="I853" i="1"/>
  <c r="G853" i="1"/>
  <c r="H851" i="1"/>
  <c r="I851" i="1"/>
  <c r="G851" i="1"/>
  <c r="H847" i="1"/>
  <c r="I847" i="1"/>
  <c r="G847" i="1"/>
  <c r="G844" i="1"/>
  <c r="G843" i="1" s="1"/>
  <c r="H843" i="1"/>
  <c r="I843" i="1"/>
  <c r="H839" i="1"/>
  <c r="I839" i="1"/>
  <c r="G839" i="1"/>
  <c r="H820" i="1"/>
  <c r="H819" i="1" s="1"/>
  <c r="I820" i="1"/>
  <c r="I819" i="1" s="1"/>
  <c r="G820" i="1"/>
  <c r="G819" i="1" s="1"/>
  <c r="G795" i="1"/>
  <c r="G770" i="1"/>
  <c r="H766" i="1"/>
  <c r="I766" i="1"/>
  <c r="G766" i="1"/>
  <c r="G781" i="1"/>
  <c r="G780" i="1"/>
  <c r="G759" i="1"/>
  <c r="G758" i="1"/>
  <c r="G753" i="1"/>
  <c r="G752" i="1"/>
  <c r="H596" i="1"/>
  <c r="H553" i="1"/>
  <c r="H495" i="1"/>
  <c r="H638" i="1"/>
  <c r="I638" i="1"/>
  <c r="G638" i="1"/>
  <c r="G635" i="1" s="1"/>
  <c r="G634" i="1" s="1"/>
  <c r="H527" i="1"/>
  <c r="I527" i="1"/>
  <c r="G527" i="1"/>
  <c r="H530" i="1"/>
  <c r="I530" i="1"/>
  <c r="G530" i="1"/>
  <c r="G446" i="1"/>
  <c r="G445" i="1"/>
  <c r="H372" i="1"/>
  <c r="I372" i="1"/>
  <c r="G372" i="1"/>
  <c r="H284" i="1"/>
  <c r="I284" i="1"/>
  <c r="G284" i="1"/>
  <c r="G282" i="1"/>
  <c r="G274" i="1"/>
  <c r="H134" i="1"/>
  <c r="H131" i="1" s="1"/>
  <c r="I134" i="1"/>
  <c r="I131" i="1" s="1"/>
  <c r="G134" i="1"/>
  <c r="G131" i="1" s="1"/>
  <c r="G117" i="1"/>
  <c r="H117" i="1"/>
  <c r="I117" i="1"/>
  <c r="H635" i="1" l="1"/>
  <c r="H634" i="1" s="1"/>
  <c r="I635" i="1"/>
  <c r="I634" i="1" s="1"/>
  <c r="I526" i="1"/>
  <c r="I525" i="1" s="1"/>
  <c r="I524" i="1" s="1"/>
  <c r="H526" i="1"/>
  <c r="H525" i="1" s="1"/>
  <c r="H524" i="1" s="1"/>
  <c r="G526" i="1"/>
  <c r="G525" i="1" s="1"/>
  <c r="G524" i="1" s="1"/>
  <c r="G1022" i="1"/>
  <c r="H833" i="1"/>
  <c r="H832" i="1" s="1"/>
  <c r="I833" i="1"/>
  <c r="I832" i="1" s="1"/>
  <c r="G833" i="1"/>
  <c r="G832" i="1" s="1"/>
  <c r="H804" i="1" l="1"/>
  <c r="H598" i="1"/>
  <c r="I598" i="1"/>
  <c r="G598" i="1"/>
  <c r="H414" i="1"/>
  <c r="I414" i="1"/>
  <c r="G414" i="1"/>
  <c r="H403" i="1"/>
  <c r="I403" i="1"/>
  <c r="G403" i="1"/>
  <c r="I384" i="1"/>
  <c r="H384" i="1"/>
  <c r="I382" i="1"/>
  <c r="H382" i="1"/>
  <c r="H374" i="1" l="1"/>
  <c r="I374" i="1"/>
  <c r="G374" i="1"/>
  <c r="H351" i="1"/>
  <c r="I351" i="1"/>
  <c r="G351" i="1"/>
  <c r="H353" i="1"/>
  <c r="I353" i="1"/>
  <c r="G353" i="1"/>
  <c r="H323" i="1"/>
  <c r="H190" i="1"/>
  <c r="H189" i="1" s="1"/>
  <c r="H188" i="1" s="1"/>
  <c r="I190" i="1"/>
  <c r="I189" i="1" s="1"/>
  <c r="I188" i="1" s="1"/>
  <c r="G190" i="1"/>
  <c r="G189" i="1" s="1"/>
  <c r="G188" i="1" s="1"/>
  <c r="I187" i="1" l="1"/>
  <c r="H187" i="1"/>
  <c r="G187" i="1"/>
  <c r="H171" i="1"/>
  <c r="H170" i="1" s="1"/>
  <c r="H169" i="1" s="1"/>
  <c r="I171" i="1"/>
  <c r="I170" i="1" s="1"/>
  <c r="I169" i="1" s="1"/>
  <c r="G171" i="1"/>
  <c r="G170" i="1" s="1"/>
  <c r="G169" i="1" s="1"/>
  <c r="H700" i="1" l="1"/>
  <c r="H699" i="1" s="1"/>
  <c r="I700" i="1"/>
  <c r="I699" i="1" s="1"/>
  <c r="G700" i="1"/>
  <c r="G699" i="1" s="1"/>
  <c r="H703" i="1"/>
  <c r="H702" i="1" s="1"/>
  <c r="I703" i="1"/>
  <c r="I702" i="1" s="1"/>
  <c r="G703" i="1"/>
  <c r="G702" i="1" s="1"/>
  <c r="H713" i="1"/>
  <c r="I713" i="1"/>
  <c r="G713" i="1"/>
  <c r="H716" i="1"/>
  <c r="I716" i="1"/>
  <c r="G716" i="1"/>
  <c r="H719" i="1"/>
  <c r="I719" i="1"/>
  <c r="G719" i="1"/>
  <c r="H721" i="1"/>
  <c r="I721" i="1"/>
  <c r="G721" i="1"/>
  <c r="H723" i="1"/>
  <c r="I723" i="1"/>
  <c r="G723" i="1"/>
  <c r="H726" i="1"/>
  <c r="I726" i="1"/>
  <c r="G726" i="1"/>
  <c r="H729" i="1"/>
  <c r="I729" i="1"/>
  <c r="G729" i="1"/>
  <c r="H734" i="1"/>
  <c r="H733" i="1" s="1"/>
  <c r="H732" i="1" s="1"/>
  <c r="I734" i="1"/>
  <c r="I733" i="1" s="1"/>
  <c r="I732" i="1" s="1"/>
  <c r="G734" i="1"/>
  <c r="G733" i="1" s="1"/>
  <c r="G732" i="1" s="1"/>
  <c r="H744" i="1"/>
  <c r="H743" i="1" s="1"/>
  <c r="H742" i="1" s="1"/>
  <c r="I744" i="1"/>
  <c r="I743" i="1" s="1"/>
  <c r="I742" i="1" s="1"/>
  <c r="G744" i="1"/>
  <c r="G743" i="1" s="1"/>
  <c r="G742" i="1" s="1"/>
  <c r="H748" i="1"/>
  <c r="I748" i="1"/>
  <c r="G748" i="1"/>
  <c r="H751" i="1"/>
  <c r="I751" i="1"/>
  <c r="G751" i="1"/>
  <c r="H754" i="1"/>
  <c r="I754" i="1"/>
  <c r="G754" i="1"/>
  <c r="H757" i="1"/>
  <c r="I757" i="1"/>
  <c r="G757" i="1"/>
  <c r="H760" i="1"/>
  <c r="I760" i="1"/>
  <c r="G760" i="1"/>
  <c r="H763" i="1"/>
  <c r="I763" i="1"/>
  <c r="G763" i="1"/>
  <c r="H768" i="1"/>
  <c r="I768" i="1"/>
  <c r="G768" i="1"/>
  <c r="H771" i="1"/>
  <c r="I771" i="1"/>
  <c r="G771" i="1"/>
  <c r="H773" i="1"/>
  <c r="I773" i="1"/>
  <c r="G773" i="1"/>
  <c r="H776" i="1"/>
  <c r="I776" i="1"/>
  <c r="G776" i="1"/>
  <c r="H779" i="1"/>
  <c r="I779" i="1"/>
  <c r="G779" i="1"/>
  <c r="H782" i="1"/>
  <c r="I782" i="1"/>
  <c r="G782" i="1"/>
  <c r="H790" i="1"/>
  <c r="H789" i="1" s="1"/>
  <c r="H788" i="1" s="1"/>
  <c r="I790" i="1"/>
  <c r="I789" i="1" s="1"/>
  <c r="I788" i="1" s="1"/>
  <c r="G790" i="1"/>
  <c r="G789" i="1" s="1"/>
  <c r="G788" i="1" s="1"/>
  <c r="H793" i="1"/>
  <c r="H792" i="1" s="1"/>
  <c r="I793" i="1"/>
  <c r="I792" i="1" s="1"/>
  <c r="G793" i="1"/>
  <c r="G792" i="1" s="1"/>
  <c r="H803" i="1"/>
  <c r="I803" i="1"/>
  <c r="G803" i="1"/>
  <c r="H806" i="1"/>
  <c r="I806" i="1"/>
  <c r="G806" i="1"/>
  <c r="H808" i="1"/>
  <c r="I808" i="1"/>
  <c r="G808" i="1"/>
  <c r="H813" i="1"/>
  <c r="H812" i="1" s="1"/>
  <c r="I813" i="1"/>
  <c r="I812" i="1" s="1"/>
  <c r="G813" i="1"/>
  <c r="G812" i="1" s="1"/>
  <c r="H817" i="1"/>
  <c r="H816" i="1" s="1"/>
  <c r="H815" i="1" s="1"/>
  <c r="I817" i="1"/>
  <c r="I816" i="1" s="1"/>
  <c r="I815" i="1" s="1"/>
  <c r="G817" i="1"/>
  <c r="G816" i="1" s="1"/>
  <c r="G815" i="1" s="1"/>
  <c r="H837" i="1"/>
  <c r="H836" i="1" s="1"/>
  <c r="I837" i="1"/>
  <c r="I836" i="1" s="1"/>
  <c r="G837" i="1"/>
  <c r="G836" i="1" s="1"/>
  <c r="H857" i="1"/>
  <c r="I857" i="1"/>
  <c r="G857" i="1"/>
  <c r="H862" i="1"/>
  <c r="I862" i="1"/>
  <c r="I856" i="1" s="1"/>
  <c r="G862" i="1"/>
  <c r="G747" i="1" l="1"/>
  <c r="H747" i="1"/>
  <c r="H746" i="1" s="1"/>
  <c r="H741" i="1" s="1"/>
  <c r="G856" i="1"/>
  <c r="H856" i="1"/>
  <c r="H831" i="1" s="1"/>
  <c r="H826" i="1" s="1"/>
  <c r="I747" i="1"/>
  <c r="G831" i="1"/>
  <c r="G826" i="1" s="1"/>
  <c r="G746" i="1"/>
  <c r="G741" i="1" s="1"/>
  <c r="I831" i="1"/>
  <c r="I826" i="1" s="1"/>
  <c r="H698" i="1"/>
  <c r="H697" i="1" s="1"/>
  <c r="H696" i="1" s="1"/>
  <c r="I746" i="1"/>
  <c r="I741" i="1" s="1"/>
  <c r="I712" i="1"/>
  <c r="I711" i="1" s="1"/>
  <c r="I710" i="1" s="1"/>
  <c r="G712" i="1"/>
  <c r="G711" i="1" s="1"/>
  <c r="G710" i="1" s="1"/>
  <c r="H712" i="1"/>
  <c r="H711" i="1" s="1"/>
  <c r="H710" i="1" s="1"/>
  <c r="G802" i="1"/>
  <c r="G801" i="1" s="1"/>
  <c r="G800" i="1" s="1"/>
  <c r="H802" i="1"/>
  <c r="H801" i="1" s="1"/>
  <c r="H800" i="1" s="1"/>
  <c r="I802" i="1"/>
  <c r="I801" i="1" s="1"/>
  <c r="I800" i="1" s="1"/>
  <c r="G698" i="1"/>
  <c r="G697" i="1" s="1"/>
  <c r="G696" i="1" s="1"/>
  <c r="I698" i="1"/>
  <c r="I697" i="1" s="1"/>
  <c r="I696" i="1" s="1"/>
  <c r="H880" i="1"/>
  <c r="H879" i="1" s="1"/>
  <c r="H878" i="1" s="1"/>
  <c r="H877" i="1" s="1"/>
  <c r="H876" i="1" s="1"/>
  <c r="I880" i="1"/>
  <c r="I879" i="1" s="1"/>
  <c r="I878" i="1" s="1"/>
  <c r="I877" i="1" s="1"/>
  <c r="I876" i="1" s="1"/>
  <c r="G880" i="1"/>
  <c r="G879" i="1" s="1"/>
  <c r="G878" i="1" s="1"/>
  <c r="G877" i="1" s="1"/>
  <c r="G876" i="1" s="1"/>
  <c r="H888" i="1"/>
  <c r="I888" i="1"/>
  <c r="G888" i="1"/>
  <c r="H894" i="1"/>
  <c r="I894" i="1"/>
  <c r="G894" i="1"/>
  <c r="H896" i="1"/>
  <c r="I896" i="1"/>
  <c r="G896" i="1"/>
  <c r="H907" i="1"/>
  <c r="H906" i="1" s="1"/>
  <c r="H905" i="1" s="1"/>
  <c r="I907" i="1"/>
  <c r="I906" i="1" s="1"/>
  <c r="I905" i="1" s="1"/>
  <c r="G907" i="1"/>
  <c r="G906" i="1" s="1"/>
  <c r="G905" i="1" s="1"/>
  <c r="H919" i="1"/>
  <c r="I919" i="1"/>
  <c r="G919" i="1"/>
  <c r="H921" i="1"/>
  <c r="I921" i="1"/>
  <c r="G921" i="1"/>
  <c r="H927" i="1"/>
  <c r="H926" i="1" s="1"/>
  <c r="H925" i="1" s="1"/>
  <c r="H924" i="1" s="1"/>
  <c r="H923" i="1" s="1"/>
  <c r="I927" i="1"/>
  <c r="I926" i="1" s="1"/>
  <c r="I925" i="1" s="1"/>
  <c r="I924" i="1" s="1"/>
  <c r="I923" i="1" s="1"/>
  <c r="G927" i="1"/>
  <c r="G926" i="1" s="1"/>
  <c r="G925" i="1" s="1"/>
  <c r="G924" i="1" s="1"/>
  <c r="G923" i="1" s="1"/>
  <c r="H933" i="1"/>
  <c r="I933" i="1"/>
  <c r="G933" i="1"/>
  <c r="H935" i="1"/>
  <c r="I935" i="1"/>
  <c r="G935" i="1"/>
  <c r="H937" i="1"/>
  <c r="I937" i="1"/>
  <c r="G937" i="1"/>
  <c r="H939" i="1"/>
  <c r="I939" i="1"/>
  <c r="G939" i="1"/>
  <c r="H948" i="1"/>
  <c r="I948" i="1"/>
  <c r="G948" i="1"/>
  <c r="H950" i="1"/>
  <c r="I950" i="1"/>
  <c r="G950" i="1"/>
  <c r="H952" i="1"/>
  <c r="I952" i="1"/>
  <c r="G952" i="1"/>
  <c r="H954" i="1"/>
  <c r="I954" i="1"/>
  <c r="G954" i="1"/>
  <c r="H956" i="1"/>
  <c r="I956" i="1"/>
  <c r="G956" i="1"/>
  <c r="H959" i="1"/>
  <c r="I959" i="1"/>
  <c r="G959" i="1"/>
  <c r="H962" i="1"/>
  <c r="I962" i="1"/>
  <c r="G962" i="1"/>
  <c r="H964" i="1"/>
  <c r="I964" i="1"/>
  <c r="G964" i="1"/>
  <c r="H966" i="1"/>
  <c r="I966" i="1"/>
  <c r="G966" i="1"/>
  <c r="H970" i="1"/>
  <c r="I970" i="1"/>
  <c r="G970" i="1"/>
  <c r="H972" i="1"/>
  <c r="I972" i="1"/>
  <c r="G972" i="1"/>
  <c r="H976" i="1"/>
  <c r="I976" i="1"/>
  <c r="G976" i="1"/>
  <c r="H980" i="1"/>
  <c r="H979" i="1" s="1"/>
  <c r="H978" i="1" s="1"/>
  <c r="I980" i="1"/>
  <c r="I979" i="1" s="1"/>
  <c r="I978" i="1" s="1"/>
  <c r="G980" i="1"/>
  <c r="G979" i="1" s="1"/>
  <c r="G978" i="1" s="1"/>
  <c r="H983" i="1"/>
  <c r="H982" i="1" s="1"/>
  <c r="I983" i="1"/>
  <c r="I982" i="1" s="1"/>
  <c r="G983" i="1"/>
  <c r="G982" i="1" s="1"/>
  <c r="H988" i="1"/>
  <c r="H987" i="1" s="1"/>
  <c r="H986" i="1" s="1"/>
  <c r="H985" i="1" s="1"/>
  <c r="I988" i="1"/>
  <c r="I987" i="1" s="1"/>
  <c r="I986" i="1" s="1"/>
  <c r="I985" i="1" s="1"/>
  <c r="G988" i="1"/>
  <c r="G987" i="1" s="1"/>
  <c r="G986" i="1" s="1"/>
  <c r="G985" i="1" s="1"/>
  <c r="H1017" i="1"/>
  <c r="I1017" i="1"/>
  <c r="G1017" i="1"/>
  <c r="H1019" i="1"/>
  <c r="I1019" i="1"/>
  <c r="G1019" i="1"/>
  <c r="H1022" i="1"/>
  <c r="I1022" i="1"/>
  <c r="H1034" i="1"/>
  <c r="I1034" i="1"/>
  <c r="G1034" i="1"/>
  <c r="H1037" i="1"/>
  <c r="I1037" i="1"/>
  <c r="G1037" i="1"/>
  <c r="H1039" i="1"/>
  <c r="I1039" i="1"/>
  <c r="G1039" i="1"/>
  <c r="H1049" i="1"/>
  <c r="I1049" i="1"/>
  <c r="G1049" i="1"/>
  <c r="H1051" i="1"/>
  <c r="I1051" i="1"/>
  <c r="G1051" i="1"/>
  <c r="H1054" i="1"/>
  <c r="I1054" i="1"/>
  <c r="G1054" i="1"/>
  <c r="H1057" i="1"/>
  <c r="I1057" i="1"/>
  <c r="G1057" i="1"/>
  <c r="H1060" i="1"/>
  <c r="I1060" i="1"/>
  <c r="G1060" i="1"/>
  <c r="H1073" i="1"/>
  <c r="H1072" i="1" s="1"/>
  <c r="H1071" i="1" s="1"/>
  <c r="H1070" i="1" s="1"/>
  <c r="H1069" i="1" s="1"/>
  <c r="I1073" i="1"/>
  <c r="I1072" i="1" s="1"/>
  <c r="I1071" i="1" s="1"/>
  <c r="I1070" i="1" s="1"/>
  <c r="I1069" i="1" s="1"/>
  <c r="G1073" i="1"/>
  <c r="G1072" i="1" s="1"/>
  <c r="G1071" i="1" s="1"/>
  <c r="G1070" i="1" s="1"/>
  <c r="G1069" i="1" s="1"/>
  <c r="H693" i="1"/>
  <c r="H692" i="1" s="1"/>
  <c r="H691" i="1" s="1"/>
  <c r="H690" i="1" s="1"/>
  <c r="H689" i="1" s="1"/>
  <c r="H683" i="1" s="1"/>
  <c r="I693" i="1"/>
  <c r="I692" i="1" s="1"/>
  <c r="I691" i="1" s="1"/>
  <c r="I690" i="1" s="1"/>
  <c r="I689" i="1" s="1"/>
  <c r="I683" i="1" s="1"/>
  <c r="G693" i="1"/>
  <c r="G692" i="1" s="1"/>
  <c r="G691" i="1" s="1"/>
  <c r="H681" i="1"/>
  <c r="H680" i="1" s="1"/>
  <c r="H679" i="1" s="1"/>
  <c r="H678" i="1" s="1"/>
  <c r="I681" i="1"/>
  <c r="I680" i="1" s="1"/>
  <c r="I679" i="1" s="1"/>
  <c r="I678" i="1" s="1"/>
  <c r="G681" i="1"/>
  <c r="G680" i="1" s="1"/>
  <c r="G679" i="1" s="1"/>
  <c r="G678" i="1" s="1"/>
  <c r="H676" i="1"/>
  <c r="H675" i="1" s="1"/>
  <c r="H674" i="1" s="1"/>
  <c r="H673" i="1" s="1"/>
  <c r="I676" i="1"/>
  <c r="I675" i="1" s="1"/>
  <c r="I674" i="1" s="1"/>
  <c r="I673" i="1" s="1"/>
  <c r="G676" i="1"/>
  <c r="G675" i="1" s="1"/>
  <c r="G674" i="1" s="1"/>
  <c r="G673" i="1" s="1"/>
  <c r="H669" i="1"/>
  <c r="I669" i="1"/>
  <c r="G669" i="1"/>
  <c r="H671" i="1"/>
  <c r="I671" i="1"/>
  <c r="G671" i="1"/>
  <c r="H663" i="1"/>
  <c r="H662" i="1" s="1"/>
  <c r="H661" i="1" s="1"/>
  <c r="H660" i="1" s="1"/>
  <c r="I663" i="1"/>
  <c r="I662" i="1" s="1"/>
  <c r="I661" i="1" s="1"/>
  <c r="I660" i="1" s="1"/>
  <c r="G663" i="1"/>
  <c r="G662" i="1" s="1"/>
  <c r="G661" i="1" s="1"/>
  <c r="G660" i="1" s="1"/>
  <c r="H647" i="1"/>
  <c r="I647" i="1"/>
  <c r="G647" i="1"/>
  <c r="H649" i="1"/>
  <c r="I649" i="1"/>
  <c r="G649" i="1"/>
  <c r="H651" i="1"/>
  <c r="I651" i="1"/>
  <c r="G651" i="1"/>
  <c r="H653" i="1"/>
  <c r="I653" i="1"/>
  <c r="G653" i="1"/>
  <c r="H655" i="1"/>
  <c r="I655" i="1"/>
  <c r="G655" i="1"/>
  <c r="H626" i="1"/>
  <c r="I626" i="1"/>
  <c r="G626" i="1"/>
  <c r="H629" i="1"/>
  <c r="I629" i="1"/>
  <c r="G629" i="1"/>
  <c r="H632" i="1"/>
  <c r="I632" i="1"/>
  <c r="G632" i="1"/>
  <c r="H605" i="1"/>
  <c r="I605" i="1"/>
  <c r="G605" i="1"/>
  <c r="H607" i="1"/>
  <c r="I607" i="1"/>
  <c r="G607" i="1"/>
  <c r="H609" i="1"/>
  <c r="I609" i="1"/>
  <c r="G609" i="1"/>
  <c r="H612" i="1"/>
  <c r="I612" i="1"/>
  <c r="G612" i="1"/>
  <c r="H615" i="1"/>
  <c r="I615" i="1"/>
  <c r="G615" i="1"/>
  <c r="H620" i="1"/>
  <c r="H619" i="1" s="1"/>
  <c r="H618" i="1" s="1"/>
  <c r="I620" i="1"/>
  <c r="I619" i="1" s="1"/>
  <c r="I618" i="1" s="1"/>
  <c r="G620" i="1"/>
  <c r="G619" i="1" s="1"/>
  <c r="G618" i="1" s="1"/>
  <c r="I595" i="1"/>
  <c r="I594" i="1" s="1"/>
  <c r="H595" i="1"/>
  <c r="H594" i="1" s="1"/>
  <c r="G595" i="1"/>
  <c r="G594" i="1" s="1"/>
  <c r="H600" i="1"/>
  <c r="H597" i="1" s="1"/>
  <c r="I600" i="1"/>
  <c r="I597" i="1" s="1"/>
  <c r="G600" i="1"/>
  <c r="G597" i="1" s="1"/>
  <c r="H565" i="1"/>
  <c r="I565" i="1"/>
  <c r="G565" i="1"/>
  <c r="H567" i="1"/>
  <c r="I567" i="1"/>
  <c r="G567" i="1"/>
  <c r="H571" i="1"/>
  <c r="I571" i="1"/>
  <c r="G571" i="1"/>
  <c r="H574" i="1"/>
  <c r="I574" i="1"/>
  <c r="G574" i="1"/>
  <c r="H577" i="1"/>
  <c r="I577" i="1"/>
  <c r="G577" i="1"/>
  <c r="H580" i="1"/>
  <c r="I580" i="1"/>
  <c r="G580" i="1"/>
  <c r="H584" i="1"/>
  <c r="I584" i="1"/>
  <c r="G584" i="1"/>
  <c r="H586" i="1"/>
  <c r="I586" i="1"/>
  <c r="G586" i="1"/>
  <c r="H557" i="1"/>
  <c r="H556" i="1" s="1"/>
  <c r="H555" i="1" s="1"/>
  <c r="H554" i="1" s="1"/>
  <c r="I557" i="1"/>
  <c r="I556" i="1" s="1"/>
  <c r="I555" i="1" s="1"/>
  <c r="I554" i="1" s="1"/>
  <c r="G557" i="1"/>
  <c r="G556" i="1" s="1"/>
  <c r="G555" i="1" s="1"/>
  <c r="G554" i="1" s="1"/>
  <c r="H551" i="1"/>
  <c r="H550" i="1" s="1"/>
  <c r="H549" i="1" s="1"/>
  <c r="I551" i="1"/>
  <c r="I550" i="1" s="1"/>
  <c r="I549" i="1" s="1"/>
  <c r="G551" i="1"/>
  <c r="G550" i="1" s="1"/>
  <c r="G549" i="1" s="1"/>
  <c r="H543" i="1"/>
  <c r="I543" i="1"/>
  <c r="G543" i="1"/>
  <c r="H545" i="1"/>
  <c r="I545" i="1"/>
  <c r="G545" i="1"/>
  <c r="H537" i="1"/>
  <c r="H536" i="1" s="1"/>
  <c r="H535" i="1" s="1"/>
  <c r="H534" i="1" s="1"/>
  <c r="H533" i="1" s="1"/>
  <c r="I537" i="1"/>
  <c r="I536" i="1" s="1"/>
  <c r="I535" i="1" s="1"/>
  <c r="I534" i="1" s="1"/>
  <c r="I533" i="1" s="1"/>
  <c r="G537" i="1"/>
  <c r="G536" i="1" s="1"/>
  <c r="G535" i="1" s="1"/>
  <c r="G534" i="1" s="1"/>
  <c r="G533" i="1" s="1"/>
  <c r="H484" i="1"/>
  <c r="I484" i="1"/>
  <c r="G484" i="1"/>
  <c r="H486" i="1"/>
  <c r="I486" i="1"/>
  <c r="G486" i="1"/>
  <c r="H488" i="1"/>
  <c r="I488" i="1"/>
  <c r="G488" i="1"/>
  <c r="H492" i="1"/>
  <c r="I492" i="1"/>
  <c r="G492" i="1"/>
  <c r="H494" i="1"/>
  <c r="I494" i="1"/>
  <c r="G494" i="1"/>
  <c r="H496" i="1"/>
  <c r="I496" i="1"/>
  <c r="G496" i="1"/>
  <c r="H500" i="1"/>
  <c r="I500" i="1"/>
  <c r="G500" i="1"/>
  <c r="H502" i="1"/>
  <c r="I502" i="1"/>
  <c r="G502" i="1"/>
  <c r="H504" i="1"/>
  <c r="I504" i="1"/>
  <c r="G504" i="1"/>
  <c r="H506" i="1"/>
  <c r="I506" i="1"/>
  <c r="G506" i="1"/>
  <c r="H509" i="1"/>
  <c r="I509" i="1"/>
  <c r="G509" i="1"/>
  <c r="H511" i="1"/>
  <c r="I511" i="1"/>
  <c r="G511" i="1"/>
  <c r="H514" i="1"/>
  <c r="I514" i="1"/>
  <c r="G514" i="1"/>
  <c r="H516" i="1"/>
  <c r="I516" i="1"/>
  <c r="G516" i="1"/>
  <c r="H519" i="1"/>
  <c r="H518" i="1" s="1"/>
  <c r="I519" i="1"/>
  <c r="I518" i="1" s="1"/>
  <c r="G519" i="1"/>
  <c r="G518" i="1" s="1"/>
  <c r="H471" i="1"/>
  <c r="I471" i="1"/>
  <c r="G471" i="1"/>
  <c r="H473" i="1"/>
  <c r="I473" i="1"/>
  <c r="G473" i="1"/>
  <c r="H475" i="1"/>
  <c r="I475" i="1"/>
  <c r="G475" i="1"/>
  <c r="H462" i="1"/>
  <c r="I462" i="1"/>
  <c r="G462" i="1"/>
  <c r="H464" i="1"/>
  <c r="I464" i="1"/>
  <c r="G464" i="1"/>
  <c r="H466" i="1"/>
  <c r="I466" i="1"/>
  <c r="G466" i="1"/>
  <c r="H457" i="1"/>
  <c r="H456" i="1" s="1"/>
  <c r="H455" i="1" s="1"/>
  <c r="H454" i="1" s="1"/>
  <c r="I457" i="1"/>
  <c r="I456" i="1" s="1"/>
  <c r="I455" i="1" s="1"/>
  <c r="I454" i="1" s="1"/>
  <c r="G457" i="1"/>
  <c r="G456" i="1" s="1"/>
  <c r="G455" i="1" s="1"/>
  <c r="G454" i="1" s="1"/>
  <c r="H429" i="1"/>
  <c r="H428" i="1" s="1"/>
  <c r="I429" i="1"/>
  <c r="I428" i="1" s="1"/>
  <c r="G429" i="1"/>
  <c r="G428" i="1" s="1"/>
  <c r="H433" i="1"/>
  <c r="I433" i="1"/>
  <c r="G433" i="1"/>
  <c r="H435" i="1"/>
  <c r="I435" i="1"/>
  <c r="G435" i="1"/>
  <c r="H437" i="1"/>
  <c r="I437" i="1"/>
  <c r="G437" i="1"/>
  <c r="H442" i="1"/>
  <c r="I442" i="1"/>
  <c r="G442" i="1"/>
  <c r="H444" i="1"/>
  <c r="I444" i="1"/>
  <c r="G444" i="1"/>
  <c r="H379" i="1"/>
  <c r="I379" i="1"/>
  <c r="G379" i="1"/>
  <c r="H381" i="1"/>
  <c r="I381" i="1"/>
  <c r="G381" i="1"/>
  <c r="H383" i="1"/>
  <c r="I383" i="1"/>
  <c r="G383" i="1"/>
  <c r="H386" i="1"/>
  <c r="I386" i="1"/>
  <c r="G386" i="1"/>
  <c r="H388" i="1"/>
  <c r="I388" i="1"/>
  <c r="G388" i="1"/>
  <c r="H390" i="1"/>
  <c r="I390" i="1"/>
  <c r="G390" i="1"/>
  <c r="H392" i="1"/>
  <c r="I392" i="1"/>
  <c r="G392" i="1"/>
  <c r="H394" i="1"/>
  <c r="I394" i="1"/>
  <c r="G394" i="1"/>
  <c r="H396" i="1"/>
  <c r="I396" i="1"/>
  <c r="G396" i="1"/>
  <c r="H398" i="1"/>
  <c r="I398" i="1"/>
  <c r="G398" i="1"/>
  <c r="H401" i="1"/>
  <c r="I401" i="1"/>
  <c r="G401" i="1"/>
  <c r="H405" i="1"/>
  <c r="I405" i="1"/>
  <c r="G405" i="1"/>
  <c r="H409" i="1"/>
  <c r="H408" i="1" s="1"/>
  <c r="I409" i="1"/>
  <c r="I408" i="1" s="1"/>
  <c r="G409" i="1"/>
  <c r="G408" i="1" s="1"/>
  <c r="H412" i="1"/>
  <c r="I412" i="1"/>
  <c r="G412" i="1"/>
  <c r="H417" i="1"/>
  <c r="I417" i="1"/>
  <c r="G417" i="1"/>
  <c r="H419" i="1"/>
  <c r="I419" i="1"/>
  <c r="G419" i="1"/>
  <c r="H421" i="1"/>
  <c r="I421" i="1"/>
  <c r="G421" i="1"/>
  <c r="H309" i="1"/>
  <c r="I309" i="1"/>
  <c r="I308" i="1" s="1"/>
  <c r="G309" i="1"/>
  <c r="H312" i="1"/>
  <c r="I312" i="1"/>
  <c r="G312" i="1"/>
  <c r="H320" i="1"/>
  <c r="I320" i="1"/>
  <c r="G320" i="1"/>
  <c r="H322" i="1"/>
  <c r="I322" i="1"/>
  <c r="G322" i="1"/>
  <c r="H324" i="1"/>
  <c r="I324" i="1"/>
  <c r="G324" i="1"/>
  <c r="H326" i="1"/>
  <c r="I326" i="1"/>
  <c r="G326" i="1"/>
  <c r="H328" i="1"/>
  <c r="I328" i="1"/>
  <c r="G328" i="1"/>
  <c r="H330" i="1"/>
  <c r="I330" i="1"/>
  <c r="G330" i="1"/>
  <c r="H332" i="1"/>
  <c r="I332" i="1"/>
  <c r="G332" i="1"/>
  <c r="H334" i="1"/>
  <c r="I334" i="1"/>
  <c r="G334" i="1"/>
  <c r="H337" i="1"/>
  <c r="H336" i="1" s="1"/>
  <c r="I337" i="1"/>
  <c r="I336" i="1" s="1"/>
  <c r="G337" i="1"/>
  <c r="G336" i="1" s="1"/>
  <c r="H340" i="1"/>
  <c r="I340" i="1"/>
  <c r="G340" i="1"/>
  <c r="H342" i="1"/>
  <c r="I342" i="1"/>
  <c r="G342" i="1"/>
  <c r="H344" i="1"/>
  <c r="I344" i="1"/>
  <c r="G344" i="1"/>
  <c r="H346" i="1"/>
  <c r="I346" i="1"/>
  <c r="G346" i="1"/>
  <c r="H348" i="1"/>
  <c r="I348" i="1"/>
  <c r="H358" i="1"/>
  <c r="H357" i="1" s="1"/>
  <c r="I358" i="1"/>
  <c r="I357" i="1" s="1"/>
  <c r="G358" i="1"/>
  <c r="G357" i="1" s="1"/>
  <c r="H362" i="1"/>
  <c r="I362" i="1"/>
  <c r="G362" i="1"/>
  <c r="H364" i="1"/>
  <c r="I364" i="1"/>
  <c r="H368" i="1"/>
  <c r="H367" i="1" s="1"/>
  <c r="I368" i="1"/>
  <c r="I367" i="1" s="1"/>
  <c r="G368" i="1"/>
  <c r="G367" i="1" s="1"/>
  <c r="H279" i="1"/>
  <c r="I279" i="1"/>
  <c r="G279" i="1"/>
  <c r="H281" i="1"/>
  <c r="I281" i="1"/>
  <c r="G281" i="1"/>
  <c r="H290" i="1"/>
  <c r="I290" i="1"/>
  <c r="H296" i="1"/>
  <c r="I296" i="1"/>
  <c r="G296" i="1"/>
  <c r="H298" i="1"/>
  <c r="I298" i="1"/>
  <c r="G298" i="1"/>
  <c r="H300" i="1"/>
  <c r="I300" i="1"/>
  <c r="G300" i="1"/>
  <c r="H302" i="1"/>
  <c r="I302" i="1"/>
  <c r="G302" i="1"/>
  <c r="H304" i="1"/>
  <c r="I304" i="1"/>
  <c r="G304" i="1"/>
  <c r="H246" i="1"/>
  <c r="I246" i="1"/>
  <c r="G246" i="1"/>
  <c r="H248" i="1"/>
  <c r="I248" i="1"/>
  <c r="G248" i="1"/>
  <c r="H252" i="1"/>
  <c r="I252" i="1"/>
  <c r="G252" i="1"/>
  <c r="H254" i="1"/>
  <c r="I254" i="1"/>
  <c r="G254" i="1"/>
  <c r="H256" i="1"/>
  <c r="I256" i="1"/>
  <c r="G256" i="1"/>
  <c r="H259" i="1"/>
  <c r="I259" i="1"/>
  <c r="G259" i="1"/>
  <c r="H261" i="1"/>
  <c r="I261" i="1"/>
  <c r="G261" i="1"/>
  <c r="H265" i="1"/>
  <c r="I265" i="1"/>
  <c r="G265" i="1"/>
  <c r="H267" i="1"/>
  <c r="I267" i="1"/>
  <c r="G267" i="1"/>
  <c r="H270" i="1"/>
  <c r="H269" i="1" s="1"/>
  <c r="I270" i="1"/>
  <c r="I269" i="1" s="1"/>
  <c r="G270" i="1"/>
  <c r="G269" i="1" s="1"/>
  <c r="H273" i="1"/>
  <c r="H272" i="1" s="1"/>
  <c r="I273" i="1"/>
  <c r="I272" i="1" s="1"/>
  <c r="G273" i="1"/>
  <c r="G272" i="1" s="1"/>
  <c r="H239" i="1"/>
  <c r="I239" i="1"/>
  <c r="G239" i="1"/>
  <c r="H241" i="1"/>
  <c r="I241" i="1"/>
  <c r="G241" i="1"/>
  <c r="H202" i="1"/>
  <c r="I202" i="1"/>
  <c r="G202" i="1"/>
  <c r="H204" i="1"/>
  <c r="I204" i="1"/>
  <c r="G204" i="1"/>
  <c r="H207" i="1"/>
  <c r="I207" i="1"/>
  <c r="G207" i="1"/>
  <c r="H209" i="1"/>
  <c r="I209" i="1"/>
  <c r="G209" i="1"/>
  <c r="H211" i="1"/>
  <c r="I211" i="1"/>
  <c r="G211" i="1"/>
  <c r="H213" i="1"/>
  <c r="I213" i="1"/>
  <c r="G213" i="1"/>
  <c r="H215" i="1"/>
  <c r="I215" i="1"/>
  <c r="G215" i="1"/>
  <c r="H217" i="1"/>
  <c r="I217" i="1"/>
  <c r="G217" i="1"/>
  <c r="H219" i="1"/>
  <c r="I219" i="1"/>
  <c r="G219" i="1"/>
  <c r="H221" i="1"/>
  <c r="I221" i="1"/>
  <c r="G221" i="1"/>
  <c r="H223" i="1"/>
  <c r="I223" i="1"/>
  <c r="G223" i="1"/>
  <c r="H225" i="1"/>
  <c r="I225" i="1"/>
  <c r="G225" i="1"/>
  <c r="H227" i="1"/>
  <c r="I227" i="1"/>
  <c r="G227" i="1"/>
  <c r="H229" i="1"/>
  <c r="I229" i="1"/>
  <c r="G229" i="1"/>
  <c r="H234" i="1"/>
  <c r="H233" i="1" s="1"/>
  <c r="I234" i="1"/>
  <c r="I233" i="1" s="1"/>
  <c r="G234" i="1"/>
  <c r="G233" i="1" s="1"/>
  <c r="H195" i="1"/>
  <c r="I195" i="1"/>
  <c r="G195" i="1"/>
  <c r="H197" i="1"/>
  <c r="I197" i="1"/>
  <c r="G197" i="1"/>
  <c r="H182" i="1"/>
  <c r="H181" i="1" s="1"/>
  <c r="H180" i="1" s="1"/>
  <c r="H179" i="1" s="1"/>
  <c r="I182" i="1"/>
  <c r="I181" i="1" s="1"/>
  <c r="I180" i="1" s="1"/>
  <c r="I179" i="1" s="1"/>
  <c r="G182" i="1"/>
  <c r="G181" i="1" s="1"/>
  <c r="G180" i="1" s="1"/>
  <c r="G179" i="1" s="1"/>
  <c r="H163" i="1"/>
  <c r="I163" i="1"/>
  <c r="G163" i="1"/>
  <c r="H166" i="1"/>
  <c r="I166" i="1"/>
  <c r="G166" i="1"/>
  <c r="H175" i="1"/>
  <c r="I175" i="1"/>
  <c r="G175" i="1"/>
  <c r="H177" i="1"/>
  <c r="I177" i="1"/>
  <c r="G177" i="1"/>
  <c r="H139" i="1"/>
  <c r="H138" i="1" s="1"/>
  <c r="I139" i="1"/>
  <c r="I138" i="1" s="1"/>
  <c r="G139" i="1"/>
  <c r="G138" i="1" s="1"/>
  <c r="H142" i="1"/>
  <c r="I142" i="1"/>
  <c r="G142" i="1"/>
  <c r="H144" i="1"/>
  <c r="I144" i="1"/>
  <c r="G144" i="1"/>
  <c r="H146" i="1"/>
  <c r="I146" i="1"/>
  <c r="G146" i="1"/>
  <c r="H148" i="1"/>
  <c r="I148" i="1"/>
  <c r="G148" i="1"/>
  <c r="H151" i="1"/>
  <c r="I151" i="1"/>
  <c r="G151" i="1"/>
  <c r="H153" i="1"/>
  <c r="I153" i="1"/>
  <c r="G153" i="1"/>
  <c r="H156" i="1"/>
  <c r="H155" i="1" s="1"/>
  <c r="H18" i="2" s="1"/>
  <c r="I156" i="1"/>
  <c r="I155" i="1" s="1"/>
  <c r="I18" i="2" s="1"/>
  <c r="G156" i="1"/>
  <c r="G155" i="1" s="1"/>
  <c r="G18" i="2" s="1"/>
  <c r="H106" i="1"/>
  <c r="I106" i="1"/>
  <c r="G106" i="1"/>
  <c r="H110" i="1"/>
  <c r="I110" i="1"/>
  <c r="G110" i="1"/>
  <c r="H112" i="1"/>
  <c r="I112" i="1"/>
  <c r="G112" i="1"/>
  <c r="H115" i="1"/>
  <c r="I115" i="1"/>
  <c r="G115" i="1"/>
  <c r="H120" i="1"/>
  <c r="I120" i="1"/>
  <c r="G120" i="1"/>
  <c r="H122" i="1"/>
  <c r="I122" i="1"/>
  <c r="G122" i="1"/>
  <c r="H124" i="1"/>
  <c r="I124" i="1"/>
  <c r="G124" i="1"/>
  <c r="H126" i="1"/>
  <c r="I126" i="1"/>
  <c r="G126" i="1"/>
  <c r="H129" i="1"/>
  <c r="H128" i="1" s="1"/>
  <c r="I129" i="1"/>
  <c r="I128" i="1" s="1"/>
  <c r="G129" i="1"/>
  <c r="G128" i="1" s="1"/>
  <c r="H97" i="1"/>
  <c r="I97" i="1"/>
  <c r="G97" i="1"/>
  <c r="H101" i="1"/>
  <c r="I101" i="1"/>
  <c r="G101" i="1"/>
  <c r="H56" i="1"/>
  <c r="H55" i="1" s="1"/>
  <c r="I56" i="1"/>
  <c r="G56" i="1"/>
  <c r="G55" i="1" s="1"/>
  <c r="G1033" i="1" l="1"/>
  <c r="H1033" i="1"/>
  <c r="H1016" i="1"/>
  <c r="H308" i="1"/>
  <c r="I1033" i="1"/>
  <c r="G1016" i="1"/>
  <c r="I1016" i="1"/>
  <c r="G339" i="1"/>
  <c r="I339" i="1"/>
  <c r="G947" i="1"/>
  <c r="G946" i="1" s="1"/>
  <c r="G945" i="1" s="1"/>
  <c r="G944" i="1" s="1"/>
  <c r="H339" i="1"/>
  <c r="I947" i="1"/>
  <c r="I946" i="1" s="1"/>
  <c r="I945" i="1" s="1"/>
  <c r="I944" i="1" s="1"/>
  <c r="H947" i="1"/>
  <c r="G690" i="1"/>
  <c r="G689" i="1" s="1"/>
  <c r="G683" i="1" s="1"/>
  <c r="I194" i="1"/>
  <c r="I193" i="1" s="1"/>
  <c r="H194" i="1"/>
  <c r="H193" i="1" s="1"/>
  <c r="H192" i="1" s="1"/>
  <c r="G308" i="1"/>
  <c r="G307" i="1" s="1"/>
  <c r="G194" i="1"/>
  <c r="G193" i="1" s="1"/>
  <c r="G192" i="1" s="1"/>
  <c r="I319" i="1"/>
  <c r="G96" i="1"/>
  <c r="H1015" i="1"/>
  <c r="H1014" i="1" s="1"/>
  <c r="H1013" i="1" s="1"/>
  <c r="I278" i="1"/>
  <c r="I277" i="1" s="1"/>
  <c r="H278" i="1"/>
  <c r="H277" i="1" s="1"/>
  <c r="G278" i="1"/>
  <c r="G277" i="1" s="1"/>
  <c r="G432" i="1"/>
  <c r="I432" i="1"/>
  <c r="H432" i="1"/>
  <c r="I201" i="1"/>
  <c r="I200" i="1" s="1"/>
  <c r="I199" i="1" s="1"/>
  <c r="H96" i="1"/>
  <c r="H95" i="1" s="1"/>
  <c r="I96" i="1"/>
  <c r="I95" i="1" s="1"/>
  <c r="G201" i="1"/>
  <c r="G200" i="1" s="1"/>
  <c r="G199" i="1" s="1"/>
  <c r="H201" i="1"/>
  <c r="H200" i="1" s="1"/>
  <c r="H199" i="1" s="1"/>
  <c r="G904" i="1"/>
  <c r="I904" i="1"/>
  <c r="H904" i="1"/>
  <c r="G885" i="1"/>
  <c r="G884" i="1" s="1"/>
  <c r="I885" i="1"/>
  <c r="I884" i="1" s="1"/>
  <c r="I883" i="1" s="1"/>
  <c r="I882" i="1" s="1"/>
  <c r="H885" i="1"/>
  <c r="H884" i="1" s="1"/>
  <c r="H174" i="1"/>
  <c r="H173" i="1" s="1"/>
  <c r="G400" i="1"/>
  <c r="H319" i="1"/>
  <c r="G319" i="1"/>
  <c r="I400" i="1"/>
  <c r="H400" i="1"/>
  <c r="I1048" i="1"/>
  <c r="G548" i="1"/>
  <c r="I548" i="1"/>
  <c r="H548" i="1"/>
  <c r="G95" i="1"/>
  <c r="G94" i="1" s="1"/>
  <c r="I105" i="1"/>
  <c r="H441" i="1"/>
  <c r="G709" i="1"/>
  <c r="G625" i="1"/>
  <c r="G624" i="1" s="1"/>
  <c r="G623" i="1" s="1"/>
  <c r="I646" i="1"/>
  <c r="I645" i="1" s="1"/>
  <c r="I644" i="1" s="1"/>
  <c r="H625" i="1"/>
  <c r="H624" i="1" s="1"/>
  <c r="H623" i="1" s="1"/>
  <c r="I192" i="1"/>
  <c r="I604" i="1"/>
  <c r="G245" i="1"/>
  <c r="G244" i="1" s="1"/>
  <c r="I570" i="1"/>
  <c r="G114" i="1"/>
  <c r="I583" i="1"/>
  <c r="I582" i="1" s="1"/>
  <c r="I307" i="1"/>
  <c r="G542" i="1"/>
  <c r="G541" i="1" s="1"/>
  <c r="G540" i="1" s="1"/>
  <c r="G539" i="1" s="1"/>
  <c r="H918" i="1"/>
  <c r="H917" i="1" s="1"/>
  <c r="H668" i="1"/>
  <c r="H667" i="1" s="1"/>
  <c r="H666" i="1" s="1"/>
  <c r="H665" i="1" s="1"/>
  <c r="I625" i="1"/>
  <c r="I624" i="1" s="1"/>
  <c r="I623" i="1" s="1"/>
  <c r="I611" i="1"/>
  <c r="G893" i="1"/>
  <c r="H105" i="1"/>
  <c r="H542" i="1"/>
  <c r="H541" i="1" s="1"/>
  <c r="H540" i="1" s="1"/>
  <c r="H539" i="1" s="1"/>
  <c r="H611" i="1"/>
  <c r="I1053" i="1"/>
  <c r="G604" i="1"/>
  <c r="H646" i="1"/>
  <c r="H645" i="1" s="1"/>
  <c r="H644" i="1" s="1"/>
  <c r="I593" i="1"/>
  <c r="I592" i="1" s="1"/>
  <c r="G491" i="1"/>
  <c r="I378" i="1"/>
  <c r="H893" i="1"/>
  <c r="G264" i="1"/>
  <c r="G263" i="1" s="1"/>
  <c r="I162" i="1"/>
  <c r="I161" i="1" s="1"/>
  <c r="I238" i="1"/>
  <c r="I237" i="1" s="1"/>
  <c r="I236" i="1" s="1"/>
  <c r="I264" i="1"/>
  <c r="I263" i="1" s="1"/>
  <c r="G378" i="1"/>
  <c r="H583" i="1"/>
  <c r="H582" i="1" s="1"/>
  <c r="I174" i="1"/>
  <c r="I173" i="1" s="1"/>
  <c r="I461" i="1"/>
  <c r="I460" i="1" s="1"/>
  <c r="I459" i="1" s="1"/>
  <c r="G583" i="1"/>
  <c r="G582" i="1" s="1"/>
  <c r="I564" i="1"/>
  <c r="I1015" i="1"/>
  <c r="I1014" i="1" s="1"/>
  <c r="I1013" i="1" s="1"/>
  <c r="I918" i="1"/>
  <c r="I917" i="1" s="1"/>
  <c r="G238" i="1"/>
  <c r="G237" i="1" s="1"/>
  <c r="G236" i="1" s="1"/>
  <c r="H378" i="1"/>
  <c r="H461" i="1"/>
  <c r="H460" i="1" s="1"/>
  <c r="H459" i="1" s="1"/>
  <c r="I491" i="1"/>
  <c r="I668" i="1"/>
  <c r="I667" i="1" s="1"/>
  <c r="I666" i="1" s="1"/>
  <c r="I665" i="1" s="1"/>
  <c r="I295" i="1"/>
  <c r="I294" i="1" s="1"/>
  <c r="I258" i="1"/>
  <c r="G361" i="1"/>
  <c r="H141" i="1"/>
  <c r="H137" i="1" s="1"/>
  <c r="H258" i="1"/>
  <c r="I361" i="1"/>
  <c r="I483" i="1"/>
  <c r="I482" i="1" s="1"/>
  <c r="G1032" i="1"/>
  <c r="G1031" i="1" s="1"/>
  <c r="G1030" i="1" s="1"/>
  <c r="I114" i="1"/>
  <c r="H361" i="1"/>
  <c r="G411" i="1"/>
  <c r="G407" i="1" s="1"/>
  <c r="G16" i="2" s="1"/>
  <c r="H470" i="1"/>
  <c r="H469" i="1" s="1"/>
  <c r="H468" i="1" s="1"/>
  <c r="H483" i="1"/>
  <c r="H482" i="1" s="1"/>
  <c r="G646" i="1"/>
  <c r="G645" i="1" s="1"/>
  <c r="G644" i="1" s="1"/>
  <c r="G1053" i="1"/>
  <c r="G570" i="1"/>
  <c r="G593" i="1"/>
  <c r="G592" i="1" s="1"/>
  <c r="H946" i="1"/>
  <c r="H945" i="1" s="1"/>
  <c r="H944" i="1" s="1"/>
  <c r="H251" i="1"/>
  <c r="H295" i="1"/>
  <c r="H294" i="1" s="1"/>
  <c r="H411" i="1"/>
  <c r="H407" i="1" s="1"/>
  <c r="H16" i="2" s="1"/>
  <c r="H385" i="1"/>
  <c r="G441" i="1"/>
  <c r="H604" i="1"/>
  <c r="G251" i="1"/>
  <c r="G385" i="1"/>
  <c r="I441" i="1"/>
  <c r="H570" i="1"/>
  <c r="G918" i="1"/>
  <c r="G917" i="1" s="1"/>
  <c r="I251" i="1"/>
  <c r="I385" i="1"/>
  <c r="I470" i="1"/>
  <c r="I469" i="1" s="1"/>
  <c r="I468" i="1" s="1"/>
  <c r="I542" i="1"/>
  <c r="I541" i="1" s="1"/>
  <c r="I540" i="1" s="1"/>
  <c r="I539" i="1" s="1"/>
  <c r="G508" i="1"/>
  <c r="G483" i="1"/>
  <c r="G482" i="1" s="1"/>
  <c r="G150" i="1"/>
  <c r="G17" i="2" s="1"/>
  <c r="H162" i="1"/>
  <c r="H161" i="1" s="1"/>
  <c r="H307" i="1"/>
  <c r="G470" i="1"/>
  <c r="G469" i="1" s="1"/>
  <c r="G468" i="1" s="1"/>
  <c r="I508" i="1"/>
  <c r="H1053" i="1"/>
  <c r="I1032" i="1"/>
  <c r="I1031" i="1" s="1"/>
  <c r="I1030" i="1" s="1"/>
  <c r="H264" i="1"/>
  <c r="H263" i="1" s="1"/>
  <c r="I150" i="1"/>
  <c r="I17" i="2" s="1"/>
  <c r="H238" i="1"/>
  <c r="H237" i="1" s="1"/>
  <c r="H236" i="1" s="1"/>
  <c r="G258" i="1"/>
  <c r="I245" i="1"/>
  <c r="I244" i="1" s="1"/>
  <c r="H508" i="1"/>
  <c r="G564" i="1"/>
  <c r="H1032" i="1"/>
  <c r="H1031" i="1" s="1"/>
  <c r="H1030" i="1" s="1"/>
  <c r="I932" i="1"/>
  <c r="I931" i="1" s="1"/>
  <c r="H150" i="1"/>
  <c r="H17" i="2" s="1"/>
  <c r="H245" i="1"/>
  <c r="H244" i="1" s="1"/>
  <c r="G611" i="1"/>
  <c r="G668" i="1"/>
  <c r="G667" i="1" s="1"/>
  <c r="G666" i="1" s="1"/>
  <c r="G665" i="1" s="1"/>
  <c r="H932" i="1"/>
  <c r="H931" i="1" s="1"/>
  <c r="G162" i="1"/>
  <c r="G161" i="1" s="1"/>
  <c r="G105" i="1"/>
  <c r="G295" i="1"/>
  <c r="G294" i="1" s="1"/>
  <c r="H564" i="1"/>
  <c r="G932" i="1"/>
  <c r="G931" i="1" s="1"/>
  <c r="I411" i="1"/>
  <c r="I407" i="1" s="1"/>
  <c r="I16" i="2" s="1"/>
  <c r="H1048" i="1"/>
  <c r="G141" i="1"/>
  <c r="G137" i="1" s="1"/>
  <c r="I141" i="1"/>
  <c r="I137" i="1" s="1"/>
  <c r="G1048" i="1"/>
  <c r="H114" i="1"/>
  <c r="G174" i="1"/>
  <c r="G173" i="1" s="1"/>
  <c r="G461" i="1"/>
  <c r="G460" i="1" s="1"/>
  <c r="G459" i="1" s="1"/>
  <c r="H491" i="1"/>
  <c r="I893" i="1"/>
  <c r="H593" i="1"/>
  <c r="H592" i="1" s="1"/>
  <c r="I55" i="1"/>
  <c r="H59" i="1"/>
  <c r="I59" i="1"/>
  <c r="G59" i="1"/>
  <c r="H61" i="1"/>
  <c r="I61" i="1"/>
  <c r="G61" i="1"/>
  <c r="H63" i="1"/>
  <c r="I63" i="1"/>
  <c r="G63" i="1"/>
  <c r="H65" i="1"/>
  <c r="I65" i="1"/>
  <c r="G65" i="1"/>
  <c r="H72" i="1"/>
  <c r="I72" i="1"/>
  <c r="G72" i="1"/>
  <c r="H74" i="1"/>
  <c r="I74" i="1"/>
  <c r="G74" i="1"/>
  <c r="H76" i="1"/>
  <c r="I76" i="1"/>
  <c r="G76" i="1"/>
  <c r="H78" i="1"/>
  <c r="I78" i="1"/>
  <c r="G78" i="1"/>
  <c r="H80" i="1"/>
  <c r="I80" i="1"/>
  <c r="G80" i="1"/>
  <c r="H85" i="1"/>
  <c r="H84" i="1" s="1"/>
  <c r="I85" i="1"/>
  <c r="I84" i="1" s="1"/>
  <c r="G86" i="1"/>
  <c r="G85" i="1" s="1"/>
  <c r="G84" i="1" s="1"/>
  <c r="H89" i="1"/>
  <c r="H88" i="1" s="1"/>
  <c r="I89" i="1"/>
  <c r="I88" i="1" s="1"/>
  <c r="G89" i="1"/>
  <c r="G88" i="1" s="1"/>
  <c r="H51" i="1"/>
  <c r="H50" i="1" s="1"/>
  <c r="I51" i="1"/>
  <c r="I50" i="1" s="1"/>
  <c r="I20" i="2" s="1"/>
  <c r="G51" i="1"/>
  <c r="G50" i="1" s="1"/>
  <c r="H28" i="1"/>
  <c r="H27" i="1" s="1"/>
  <c r="I28" i="1"/>
  <c r="I27" i="1" s="1"/>
  <c r="G28" i="1"/>
  <c r="G27" i="1" s="1"/>
  <c r="H32" i="1"/>
  <c r="H31" i="1" s="1"/>
  <c r="I32" i="1"/>
  <c r="I31" i="1" s="1"/>
  <c r="G32" i="1"/>
  <c r="G31" i="1" s="1"/>
  <c r="H47" i="1"/>
  <c r="H46" i="1" s="1"/>
  <c r="H45" i="1" s="1"/>
  <c r="H44" i="1" s="1"/>
  <c r="I47" i="1"/>
  <c r="I46" i="1" s="1"/>
  <c r="I45" i="1" s="1"/>
  <c r="I44" i="1" s="1"/>
  <c r="G47" i="1"/>
  <c r="G46" i="1" s="1"/>
  <c r="G45" i="1" s="1"/>
  <c r="G44" i="1" s="1"/>
  <c r="H16" i="1"/>
  <c r="H15" i="1" s="1"/>
  <c r="H14" i="1" s="1"/>
  <c r="H13" i="1" s="1"/>
  <c r="I16" i="1"/>
  <c r="I15" i="1" s="1"/>
  <c r="I14" i="1" s="1"/>
  <c r="I13" i="1" s="1"/>
  <c r="G16" i="1"/>
  <c r="G15" i="1" s="1"/>
  <c r="G14" i="1" s="1"/>
  <c r="G13" i="1" s="1"/>
  <c r="H930" i="1" l="1"/>
  <c r="H929" i="1" s="1"/>
  <c r="G20" i="2"/>
  <c r="H20" i="2"/>
  <c r="G930" i="1"/>
  <c r="G929" i="1" s="1"/>
  <c r="I930" i="1"/>
  <c r="I929" i="1" s="1"/>
  <c r="G1015" i="1"/>
  <c r="G1014" i="1" s="1"/>
  <c r="G1013" i="1" s="1"/>
  <c r="I1047" i="1"/>
  <c r="I1046" i="1" s="1"/>
  <c r="G68" i="1"/>
  <c r="H68" i="1"/>
  <c r="I68" i="1"/>
  <c r="G11" i="2"/>
  <c r="H892" i="1"/>
  <c r="I892" i="1"/>
  <c r="H11" i="2"/>
  <c r="I11" i="2"/>
  <c r="G892" i="1"/>
  <c r="H709" i="1"/>
  <c r="H14" i="2"/>
  <c r="I14" i="2"/>
  <c r="H318" i="1"/>
  <c r="H306" i="1" s="1"/>
  <c r="G14" i="2"/>
  <c r="H160" i="1"/>
  <c r="H883" i="1"/>
  <c r="H882" i="1" s="1"/>
  <c r="G883" i="1"/>
  <c r="G882" i="1" s="1"/>
  <c r="I318" i="1"/>
  <c r="I306" i="1" s="1"/>
  <c r="G160" i="1"/>
  <c r="G104" i="1"/>
  <c r="G103" i="1" s="1"/>
  <c r="G318" i="1"/>
  <c r="G306" i="1" s="1"/>
  <c r="I104" i="1"/>
  <c r="I103" i="1" s="1"/>
  <c r="I709" i="1"/>
  <c r="G136" i="1"/>
  <c r="H427" i="1"/>
  <c r="H426" i="1" s="1"/>
  <c r="I160" i="1"/>
  <c r="I622" i="1"/>
  <c r="G49" i="1"/>
  <c r="I49" i="1"/>
  <c r="H49" i="1"/>
  <c r="I1045" i="1"/>
  <c r="I1044" i="1" s="1"/>
  <c r="I15" i="2"/>
  <c r="G603" i="1"/>
  <c r="G602" i="1" s="1"/>
  <c r="H1047" i="1"/>
  <c r="H1046" i="1" s="1"/>
  <c r="I427" i="1"/>
  <c r="I426" i="1" s="1"/>
  <c r="G622" i="1"/>
  <c r="I250" i="1"/>
  <c r="I243" i="1" s="1"/>
  <c r="H622" i="1"/>
  <c r="G916" i="1"/>
  <c r="G915" i="1" s="1"/>
  <c r="G10" i="2"/>
  <c r="G427" i="1"/>
  <c r="G426" i="1" s="1"/>
  <c r="H377" i="1"/>
  <c r="H376" i="1" s="1"/>
  <c r="I916" i="1"/>
  <c r="I915" i="1" s="1"/>
  <c r="I10" i="2"/>
  <c r="H916" i="1"/>
  <c r="H915" i="1" s="1"/>
  <c r="H10" i="2"/>
  <c r="I563" i="1"/>
  <c r="I562" i="1" s="1"/>
  <c r="I6" i="2"/>
  <c r="I276" i="1"/>
  <c r="I490" i="1"/>
  <c r="I481" i="1" s="1"/>
  <c r="G1047" i="1"/>
  <c r="G1046" i="1" s="1"/>
  <c r="H5" i="2"/>
  <c r="H276" i="1"/>
  <c r="H104" i="1"/>
  <c r="H103" i="1" s="1"/>
  <c r="H6" i="2"/>
  <c r="H453" i="1"/>
  <c r="I603" i="1"/>
  <c r="I602" i="1" s="1"/>
  <c r="I453" i="1"/>
  <c r="G6" i="2"/>
  <c r="G490" i="1"/>
  <c r="G481" i="1" s="1"/>
  <c r="G453" i="1"/>
  <c r="H563" i="1"/>
  <c r="H562" i="1" s="1"/>
  <c r="I377" i="1"/>
  <c r="I376" i="1" s="1"/>
  <c r="H250" i="1"/>
  <c r="H243" i="1" s="1"/>
  <c r="I5" i="2"/>
  <c r="G377" i="1"/>
  <c r="G376" i="1" s="1"/>
  <c r="G5" i="2"/>
  <c r="G250" i="1"/>
  <c r="H603" i="1"/>
  <c r="H602" i="1" s="1"/>
  <c r="I94" i="1"/>
  <c r="H67" i="1"/>
  <c r="H8" i="2" s="1"/>
  <c r="H94" i="1"/>
  <c r="I67" i="1"/>
  <c r="I8" i="2" s="1"/>
  <c r="H136" i="1"/>
  <c r="H490" i="1"/>
  <c r="H481" i="1" s="1"/>
  <c r="I136" i="1"/>
  <c r="H26" i="1"/>
  <c r="H25" i="1" s="1"/>
  <c r="G563" i="1"/>
  <c r="G562" i="1" s="1"/>
  <c r="G26" i="1"/>
  <c r="G25" i="1" s="1"/>
  <c r="I26" i="1"/>
  <c r="I25" i="1" s="1"/>
  <c r="G67" i="1"/>
  <c r="G276" i="1"/>
  <c r="I58" i="1"/>
  <c r="I54" i="1" s="1"/>
  <c r="G58" i="1"/>
  <c r="G54" i="1" s="1"/>
  <c r="H58" i="1"/>
  <c r="H54" i="1" s="1"/>
  <c r="H909" i="1" l="1"/>
  <c r="I909" i="1"/>
  <c r="G909" i="1"/>
  <c r="G890" i="1"/>
  <c r="G891" i="1"/>
  <c r="H890" i="1"/>
  <c r="H695" i="1" s="1"/>
  <c r="H891" i="1"/>
  <c r="I890" i="1"/>
  <c r="I695" i="1" s="1"/>
  <c r="I891" i="1"/>
  <c r="G8" i="2"/>
  <c r="I9" i="2"/>
  <c r="H9" i="2"/>
  <c r="G9" i="2"/>
  <c r="G695" i="1"/>
  <c r="I93" i="1"/>
  <c r="H159" i="1"/>
  <c r="G93" i="1"/>
  <c r="G4" i="2"/>
  <c r="I4" i="2"/>
  <c r="I159" i="1"/>
  <c r="G243" i="1"/>
  <c r="G159" i="1" s="1"/>
  <c r="G1045" i="1"/>
  <c r="G1044" i="1" s="1"/>
  <c r="G15" i="2"/>
  <c r="H1045" i="1"/>
  <c r="H1044" i="1" s="1"/>
  <c r="H15" i="2"/>
  <c r="G480" i="1"/>
  <c r="G13" i="2"/>
  <c r="I480" i="1"/>
  <c r="I13" i="2"/>
  <c r="H480" i="1"/>
  <c r="H13" i="2"/>
  <c r="I547" i="1"/>
  <c r="I12" i="2"/>
  <c r="H547" i="1"/>
  <c r="H12" i="2"/>
  <c r="G547" i="1"/>
  <c r="G12" i="2"/>
  <c r="H7" i="2"/>
  <c r="H275" i="1"/>
  <c r="I7" i="2"/>
  <c r="I275" i="1"/>
  <c r="G7" i="2"/>
  <c r="G275" i="1"/>
  <c r="H53" i="1"/>
  <c r="H12" i="1" s="1"/>
  <c r="H93" i="1"/>
  <c r="H4" i="2"/>
  <c r="H3" i="2"/>
  <c r="G53" i="1"/>
  <c r="G12" i="1" s="1"/>
  <c r="I53" i="1"/>
  <c r="I12" i="1" s="1"/>
  <c r="I3" i="2"/>
  <c r="G3" i="2"/>
  <c r="A12" i="1"/>
  <c r="A13" i="1" s="1"/>
  <c r="A14" i="1" s="1"/>
  <c r="A15" i="1" s="1"/>
  <c r="A16" i="1" s="1"/>
  <c r="A17" i="1" s="1"/>
  <c r="A18" i="1" l="1"/>
  <c r="H11" i="1"/>
  <c r="H1075" i="1" s="1"/>
  <c r="I11" i="1"/>
  <c r="I1075" i="1" s="1"/>
  <c r="G11" i="1"/>
  <c r="G1075" i="1" s="1"/>
  <c r="I19" i="2"/>
  <c r="I21" i="2" s="1"/>
  <c r="G19" i="2"/>
  <c r="G21" i="2" s="1"/>
  <c r="H19" i="2"/>
  <c r="H21" i="2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l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l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l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l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l="1"/>
  <c r="A449" i="1" l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l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l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l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l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l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l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l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l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l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l="1"/>
  <c r="A868" i="1" s="1"/>
  <c r="A869" i="1" s="1"/>
  <c r="A870" i="1" l="1"/>
  <c r="A871" i="1" s="1"/>
  <c r="A872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l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</calcChain>
</file>

<file path=xl/sharedStrings.xml><?xml version="1.0" encoding="utf-8"?>
<sst xmlns="http://schemas.openxmlformats.org/spreadsheetml/2006/main" count="4455" uniqueCount="901">
  <si>
    <t>Приложение № 5</t>
  </si>
  <si>
    <t xml:space="preserve">к решению Думы Невьянского городского </t>
  </si>
  <si>
    <t>округа «О бюджете Невьянского городского округа</t>
  </si>
  <si>
    <t>на 2024 год и плановый период 2025 и 2026 годов»</t>
  </si>
  <si>
    <t xml:space="preserve">Ведомственная структура расходов бюджета Невьянского городского округа на 2024 год и плановый период 2025 и 2026 годов
</t>
  </si>
  <si>
    <t>№ строки</t>
  </si>
  <si>
    <t>Наименование главного распорядителя бюджетных средств 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</si>
  <si>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</si>
  <si>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</si>
  <si>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</si>
  <si>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</si>
  <si>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</si>
  <si>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</si>
  <si>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Администрация Невьянского городского округа</t>
  </si>
  <si>
    <t>901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</si>
  <si>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</si>
  <si>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</si>
  <si>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</si>
  <si>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</si>
  <si>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</si>
  <si>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</si>
  <si>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</si>
  <si>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</si>
  <si>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  Глава городского округа</t>
  </si>
  <si>
    <t>0130111020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</si>
  <si>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</si>
  <si>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</si>
  <si>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</si>
  <si>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</si>
  <si>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Подпрограмма "Развитие муниципальной службы  в Невьянском городском округе"</t>
  </si>
  <si>
    <t>0110000000</t>
  </si>
  <si>
    <t xml:space="preserve">  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</si>
  <si>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</si>
  <si>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</si>
  <si>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</si>
  <si>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Обеспечение деятельности органов местного самоуправления</t>
  </si>
  <si>
    <t>0130111040</t>
  </si>
  <si>
    <t xml:space="preserve">              Уплата налогов, сборов и иных платежей</t>
  </si>
  <si>
    <t>850</t>
  </si>
  <si>
    <t xml:space="preserve">      Судебная система</t>
  </si>
  <si>
    <t>0105</t>
  </si>
  <si>
    <t xml:space="preserve">  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</si>
  <si>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</si>
  <si>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  Резервные фонды</t>
  </si>
  <si>
    <t>0111</t>
  </si>
  <si>
    <t>7000000000</t>
  </si>
  <si>
    <t xml:space="preserve">            Резервный фонд администрации Невьянского городского округа</t>
  </si>
  <si>
    <t>7000105000</t>
  </si>
  <si>
    <t xml:space="preserve">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</si>
  <si>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</si>
  <si>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</si>
  <si>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</si>
  <si>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Подпрограмма "Противодействие коррупции в Невьянском городском округе на 2020- 2027 годы"</t>
  </si>
  <si>
    <t>0120000000</t>
  </si>
  <si>
    <t xml:space="preserve">  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</si>
  <si>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</si>
  <si>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</si>
  <si>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</si>
  <si>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</si>
  <si>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</si>
  <si>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</si>
  <si>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</si>
  <si>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</si>
  <si>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</si>
  <si>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</si>
  <si>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</si>
  <si>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</si>
  <si>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</si>
  <si>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  Расходы на приобретение имущества в казну Невьянского городского округа</t>
  </si>
  <si>
    <t>0610113230</t>
  </si>
  <si>
    <t xml:space="preserve">  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</si>
  <si>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</si>
  <si>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</si>
  <si>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</si>
  <si>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</si>
  <si>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</si>
  <si>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</si>
  <si>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</si>
  <si>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</si>
  <si>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</si>
  <si>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</si>
  <si>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</si>
  <si>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  Подпрограмма "Профилактика терроризма и экстремизма в  Невьянском городском округе"</t>
  </si>
  <si>
    <t>0930000000</t>
  </si>
  <si>
    <t xml:space="preserve">  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</si>
  <si>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</si>
  <si>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</si>
  <si>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</si>
  <si>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  Исполнение судебных актов</t>
  </si>
  <si>
    <t>830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</si>
  <si>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</si>
  <si>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</si>
  <si>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</si>
  <si>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</si>
  <si>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</si>
  <si>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</si>
  <si>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  Подпрограмма "Предупреждение и ликвидация чрезвычайных ситуаций, гражданская оборона"</t>
  </si>
  <si>
    <t>0210000000</t>
  </si>
  <si>
    <t xml:space="preserve">  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</si>
  <si>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</si>
  <si>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  Соблюдение режима секретности выделенных мест администрации Невьянского городского округа</t>
  </si>
  <si>
    <t>0210112060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</si>
  <si>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</si>
  <si>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</si>
  <si>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</si>
  <si>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</si>
  <si>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  Расходы на выплаты персоналу казенных учреждений</t>
  </si>
  <si>
    <t>110</t>
  </si>
  <si>
    <t xml:space="preserve">            Содержание и развитие системы оповещения населения при возникновении чрезвычайных ситуаций</t>
  </si>
  <si>
    <t>0210112030</t>
  </si>
  <si>
    <t xml:space="preserve">            Обеспечение безопасности  людей на водных объектах</t>
  </si>
  <si>
    <t>0210112040</t>
  </si>
  <si>
    <t xml:space="preserve">          Подпрограмма "Обеспечение первичных мер пожарной безопасности"</t>
  </si>
  <si>
    <t>0220000000</t>
  </si>
  <si>
    <t xml:space="preserve">  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</si>
  <si>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</si>
  <si>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Обустройство, содержание и ремонт источников наружного противопожарного водоснабжения</t>
  </si>
  <si>
    <t>0220112080</t>
  </si>
  <si>
    <t xml:space="preserve">            Обеспечение условий и деятельности общественных объединений добровольной пожарной охраны</t>
  </si>
  <si>
    <t>0220112090</t>
  </si>
  <si>
    <t xml:space="preserve">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</si>
  <si>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</si>
  <si>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Содержание пожарного автомобиля в д. Нижние Таволги</t>
  </si>
  <si>
    <t>0220112100</t>
  </si>
  <si>
    <t xml:space="preserve">            Проведение минерализованных полос вокруг населенных пунктов</t>
  </si>
  <si>
    <t>0220112110</t>
  </si>
  <si>
    <t xml:space="preserve">  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</si>
  <si>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</si>
  <si>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</si>
  <si>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</si>
  <si>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  Проведение противопаводковых мероприятий</t>
  </si>
  <si>
    <t>0230112130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</si>
  <si>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</si>
  <si>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</si>
  <si>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</si>
  <si>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</si>
  <si>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  Подпрограмма "Профилактика правонарушений в Невьянском городском округе"</t>
  </si>
  <si>
    <t>0940000000</t>
  </si>
  <si>
    <t xml:space="preserve">  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</si>
  <si>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</si>
  <si>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  Иные выплаты населению</t>
  </si>
  <si>
    <t>360</t>
  </si>
  <si>
    <t>0940119200</t>
  </si>
  <si>
    <t xml:space="preserve">  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</si>
  <si>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</si>
  <si>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</si>
  <si>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</si>
  <si>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</si>
  <si>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</si>
  <si>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</si>
  <si>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</si>
  <si>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  Приобретение материально-технических средств,  для обеспечения безопасности дорожного движения</t>
  </si>
  <si>
    <t>1500119320</t>
  </si>
  <si>
    <t xml:space="preserve">  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</si>
  <si>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</si>
  <si>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</si>
  <si>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</si>
  <si>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            Субсидии бюджетным учреждениям</t>
  </si>
  <si>
    <t>610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</si>
  <si>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</si>
  <si>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</si>
  <si>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</si>
  <si>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</si>
  <si>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Муниципальная программа "Развитие жилищно-коммунального хозяйства и повышение энергетической эффективности в Невьянском городском округе до 2027 года"</t>
  </si>
  <si>
    <t>0500000000</t>
  </si>
  <si>
    <t xml:space="preserve">          Подпрограмма "Организация и содержание объектов благоустройства"</t>
  </si>
  <si>
    <t>0540000000</t>
  </si>
  <si>
    <t xml:space="preserve">  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</si>
  <si>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</si>
  <si>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</si>
  <si>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</si>
  <si>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</si>
  <si>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</si>
  <si>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</si>
  <si>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</si>
  <si>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  Мероприятия в области сельскохозяйственного производства</t>
  </si>
  <si>
    <t>1230113470</t>
  </si>
  <si>
    <t xml:space="preserve">              Премии и гранты</t>
  </si>
  <si>
    <t>350</t>
  </si>
  <si>
    <t xml:space="preserve">            Организация ярмарок на территории Невьянского городского округа</t>
  </si>
  <si>
    <t>1230113490</t>
  </si>
  <si>
    <t xml:space="preserve">      Водное хозяйство</t>
  </si>
  <si>
    <t>0406</t>
  </si>
  <si>
    <t xml:space="preserve">  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</si>
  <si>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</si>
  <si>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  Транспорт</t>
  </si>
  <si>
    <t>0408</t>
  </si>
  <si>
    <t xml:space="preserve">  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</si>
  <si>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</si>
  <si>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  Подпрограмма "Организация транспортного обслуживания населения"</t>
  </si>
  <si>
    <t>0420000000</t>
  </si>
  <si>
    <t xml:space="preserve">            Организация регулярных перевозок пассажиров на территории городского округа</t>
  </si>
  <si>
    <t>0420114190</t>
  </si>
  <si>
    <t xml:space="preserve">  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</si>
  <si>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</si>
  <si>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  Дорожное хозяйство (дорожные фонды)</t>
  </si>
  <si>
    <t>0409</t>
  </si>
  <si>
    <t xml:space="preserve">          Подпрограмма "Функционирование дорожного хозяйства"</t>
  </si>
  <si>
    <t>0410000000</t>
  </si>
  <si>
    <t xml:space="preserve">            Проектирование и (или) реконструкция улично-дорожной сети в Невьянском городском округе</t>
  </si>
  <si>
    <t>0410214030</t>
  </si>
  <si>
    <t xml:space="preserve">            Содержание улично-дорожной сети</t>
  </si>
  <si>
    <t>0410214040</t>
  </si>
  <si>
    <t xml:space="preserve">            Обустройство, содержание и ремонт технических средств организации дорожного движения</t>
  </si>
  <si>
    <t>0410214050</t>
  </si>
  <si>
    <t xml:space="preserve">            Ремонт остановочных комплексов на территории Невьянского городского округа</t>
  </si>
  <si>
    <t>0410214060</t>
  </si>
  <si>
    <t xml:space="preserve">            Покраска пешеходных переходов, нанесение продольной горизонтальной разметки</t>
  </si>
  <si>
    <t>0410214070</t>
  </si>
  <si>
    <t xml:space="preserve">            Ремонт мостовых сооружений на территории округа</t>
  </si>
  <si>
    <t>0410214080</t>
  </si>
  <si>
    <t xml:space="preserve">  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</si>
  <si>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</si>
  <si>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  Ремонт дворовых проездов в городе Невьянске и в сельских населенных пунктах</t>
  </si>
  <si>
    <t>0410214100</t>
  </si>
  <si>
    <t xml:space="preserve">  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</si>
  <si>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</si>
  <si>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</si>
  <si>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</si>
  <si>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  Разработка и (или) корректировка проекта организации дорожного движения</t>
  </si>
  <si>
    <t>0410214200</t>
  </si>
  <si>
    <t xml:space="preserve">            Обустройство улично-дорожной сети вблизи образовательных организаций</t>
  </si>
  <si>
    <t>0410214210</t>
  </si>
  <si>
    <t xml:space="preserve">  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</si>
  <si>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</si>
  <si>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</si>
  <si>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</si>
  <si>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</si>
  <si>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</si>
  <si>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  Связь и информатика</t>
  </si>
  <si>
    <t>0410</t>
  </si>
  <si>
    <t xml:space="preserve">          Подпрограмма "Информационное общество Невьянского городского округа"</t>
  </si>
  <si>
    <t>0910000000</t>
  </si>
  <si>
    <t xml:space="preserve">            Приобретение , ремонт и модернизация используемой вычислительной техники, оргтехники</t>
  </si>
  <si>
    <t>0910113510</t>
  </si>
  <si>
    <t xml:space="preserve">            Функционирование информационно-коммуникационных технологий в Невьянском городском округе</t>
  </si>
  <si>
    <t>0910113550</t>
  </si>
  <si>
    <t xml:space="preserve">      Другие вопросы в области национальной экономики</t>
  </si>
  <si>
    <t>0412</t>
  </si>
  <si>
    <t xml:space="preserve">  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</si>
  <si>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</si>
  <si>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  Подпрограмма "Стимулирование развития жилищного строительства"</t>
  </si>
  <si>
    <t>0330000000</t>
  </si>
  <si>
    <t xml:space="preserve">  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</si>
  <si>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</si>
  <si>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</si>
  <si>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</si>
  <si>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</si>
  <si>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</si>
  <si>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</si>
  <si>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</si>
  <si>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</si>
  <si>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</si>
  <si>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</si>
  <si>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</si>
  <si>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</si>
  <si>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</si>
  <si>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  Проведение комплексных кадастровых работ</t>
  </si>
  <si>
    <t>06201S3700</t>
  </si>
  <si>
    <t xml:space="preserve">  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</si>
  <si>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</si>
  <si>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</si>
  <si>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</si>
  <si>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</si>
  <si>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</si>
  <si>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</si>
  <si>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</si>
  <si>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</si>
  <si>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</si>
  <si>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</si>
  <si>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  Реализация проектов инициативного бюджетирования на территории Невьянского городского округа</t>
  </si>
  <si>
    <t>12601S3100</t>
  </si>
  <si>
    <t xml:space="preserve">              Субсидии автономным учреждениям</t>
  </si>
  <si>
    <t>620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</si>
  <si>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</si>
  <si>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</si>
  <si>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</si>
  <si>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</si>
  <si>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</si>
  <si>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</si>
  <si>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  Снос расселяемых жилых помещений</t>
  </si>
  <si>
    <t>0310113030</t>
  </si>
  <si>
    <t xml:space="preserve">  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</si>
  <si>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</si>
  <si>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  Бюджетные инвестиции</t>
  </si>
  <si>
    <t>410</t>
  </si>
  <si>
    <t xml:space="preserve">            Переселение граждан из аварийного жилищного фонда</t>
  </si>
  <si>
    <t>031F36748S</t>
  </si>
  <si>
    <t xml:space="preserve">  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</si>
  <si>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</si>
  <si>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</si>
  <si>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</si>
  <si>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</si>
  <si>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</si>
  <si>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  Техническое обследование многоквартирных домов с целью определения физического износа</t>
  </si>
  <si>
    <t>0520115220</t>
  </si>
  <si>
    <t xml:space="preserve">  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</si>
  <si>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</si>
  <si>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</si>
  <si>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</si>
  <si>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  Коммунальное хозяйство</t>
  </si>
  <si>
    <t>0502</t>
  </si>
  <si>
    <t xml:space="preserve">          Подпрограмма "Строительство объектов капитального строительства"</t>
  </si>
  <si>
    <t>0320000000</t>
  </si>
  <si>
    <t xml:space="preserve">            Газификация населенных пунктов на территории Невьянского городского округа</t>
  </si>
  <si>
    <t>0320213050</t>
  </si>
  <si>
    <t xml:space="preserve">  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</si>
  <si>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</si>
  <si>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</si>
  <si>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</si>
  <si>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</si>
  <si>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</si>
  <si>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</si>
  <si>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</si>
  <si>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</si>
  <si>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</si>
  <si>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  Организация санитарно-защитных зон муниципальных водозаборов</t>
  </si>
  <si>
    <t>0510115190</t>
  </si>
  <si>
    <t xml:space="preserve">  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</si>
  <si>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</si>
  <si>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  Предоставление субсидий на создание и (или) реконструкцию объектов концессионного соглашения</t>
  </si>
  <si>
    <t>0510115730</t>
  </si>
  <si>
    <t xml:space="preserve">  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</si>
  <si>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</si>
  <si>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</si>
  <si>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</si>
  <si>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</si>
  <si>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</si>
  <si>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 xml:space="preserve">      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</si>
  <si>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</si>
  <si>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</si>
  <si>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</si>
  <si>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  Капитальный, текущий ремонт муниципальных котельных к осенне-зимнему периоду</t>
  </si>
  <si>
    <t>0530115330</t>
  </si>
  <si>
    <t xml:space="preserve">  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</si>
  <si>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</si>
  <si>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</si>
  <si>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</si>
  <si>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  Обеспечение мероприятий по модернизации систем коммунальной инфраструктуры</t>
  </si>
  <si>
    <t>05301S9605</t>
  </si>
  <si>
    <t xml:space="preserve">            Мероприятия в сфере обращения с твердыми коммунальными отходами</t>
  </si>
  <si>
    <t>0540115560</t>
  </si>
  <si>
    <t xml:space="preserve">          Подпрограмма "Экологическая безопасность Невьянского городского округа"</t>
  </si>
  <si>
    <t>0560000000</t>
  </si>
  <si>
    <t xml:space="preserve">  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</si>
  <si>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</si>
  <si>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</si>
  <si>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</si>
  <si>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  Расходы по исполнению муниципальных гарантий Невьянского городского округа</t>
  </si>
  <si>
    <t>7000104000</t>
  </si>
  <si>
    <t xml:space="preserve">  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</si>
  <si>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</si>
  <si>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  Благоустройство</t>
  </si>
  <si>
    <t>0503</t>
  </si>
  <si>
    <t xml:space="preserve">  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</si>
  <si>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</si>
  <si>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</si>
  <si>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</si>
  <si>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  Ремонт пешеходных мостовых сооружений и обустройство плотов</t>
  </si>
  <si>
    <t>0540115420</t>
  </si>
  <si>
    <t xml:space="preserve">            Ремонт и обустройство тротуаров на территории Невьянского городского округа</t>
  </si>
  <si>
    <t>0540115430</t>
  </si>
  <si>
    <t xml:space="preserve">            Вырубка и подрезка деревьев с вывозом порубочных остатков</t>
  </si>
  <si>
    <t>0540115450</t>
  </si>
  <si>
    <t xml:space="preserve">            Обустройство новогоднего городка</t>
  </si>
  <si>
    <t>0540115460</t>
  </si>
  <si>
    <t xml:space="preserve">  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</si>
  <si>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</si>
  <si>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</si>
  <si>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</si>
  <si>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  Мероприятия по озеленению</t>
  </si>
  <si>
    <t>0540115490</t>
  </si>
  <si>
    <t xml:space="preserve">          Подпрограмма "Организация ритуальных услуг и содержание мест захоронения"</t>
  </si>
  <si>
    <t>0550000000</t>
  </si>
  <si>
    <t xml:space="preserve">  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</si>
  <si>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</si>
  <si>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  Организация санитарно-защитных зон муниципальных кладбищ</t>
  </si>
  <si>
    <t>0550115930</t>
  </si>
  <si>
    <t>1400000000</t>
  </si>
  <si>
    <t xml:space="preserve">          Подпрограмма "Комплексное благоустройство дворовых территорий Невьянского городского округа"</t>
  </si>
  <si>
    <t>1410000000</t>
  </si>
  <si>
    <t xml:space="preserve">  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</si>
  <si>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</si>
  <si>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</si>
  <si>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</si>
  <si>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</si>
  <si>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</si>
  <si>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  Комплексное благоустройство общественных территорий Невьянского городского округа</t>
  </si>
  <si>
    <t>142F215520</t>
  </si>
  <si>
    <t xml:space="preserve">  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</si>
  <si>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</si>
  <si>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</si>
  <si>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</si>
  <si>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</si>
  <si>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</si>
  <si>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  Другие вопросы в области жилищно-коммунального хозяйства</t>
  </si>
  <si>
    <t>0505</t>
  </si>
  <si>
    <t xml:space="preserve">  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</si>
  <si>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</si>
  <si>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  Актуализация схем тепло-, водоснабжения и водоотведения Невьянского городского округа</t>
  </si>
  <si>
    <t>0530115370</t>
  </si>
  <si>
    <t xml:space="preserve">            Организация  бытового обслуживания населения в части обеспечения услугами банного комплекса</t>
  </si>
  <si>
    <t>0530115390</t>
  </si>
  <si>
    <t xml:space="preserve">  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</si>
  <si>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</si>
  <si>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  Расходы на финансовое обеспечение выполнения функций муниципальным казенным учреждением</t>
  </si>
  <si>
    <t>0540115580</t>
  </si>
  <si>
    <t xml:space="preserve">    ОХРАНА ОКРУЖАЮЩЕЙ СРЕДЫ</t>
  </si>
  <si>
    <t>0600</t>
  </si>
  <si>
    <t xml:space="preserve">      Сбор, удаление отходов и очистка сточных вод</t>
  </si>
  <si>
    <t>0602</t>
  </si>
  <si>
    <t xml:space="preserve">            Утилизация ртутных ламп</t>
  </si>
  <si>
    <t>0560115690</t>
  </si>
  <si>
    <t xml:space="preserve">      Охрана объектов растительного и животного мира и среды их обитания</t>
  </si>
  <si>
    <t>0603</t>
  </si>
  <si>
    <t xml:space="preserve">  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</si>
  <si>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</si>
  <si>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  Проведение биотехнических мероприятий по диким животным</t>
  </si>
  <si>
    <t>0560115640</t>
  </si>
  <si>
    <t>0560115650</t>
  </si>
  <si>
    <t xml:space="preserve">      Другие вопросы в области охраны окружающей среды</t>
  </si>
  <si>
    <t>0605</t>
  </si>
  <si>
    <t xml:space="preserve">            Оказание услуг (выполнение работ) в области экологической и природоохранной деятельности</t>
  </si>
  <si>
    <t>0560115610</t>
  </si>
  <si>
    <t xml:space="preserve">  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</si>
  <si>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</si>
  <si>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  Проведение экологических акций</t>
  </si>
  <si>
    <t>0560115660</t>
  </si>
  <si>
    <t xml:space="preserve">    ОБРАЗОВАНИЕ</t>
  </si>
  <si>
    <t>0700</t>
  </si>
  <si>
    <t xml:space="preserve">      Молодежная политика</t>
  </si>
  <si>
    <t>0707</t>
  </si>
  <si>
    <t xml:space="preserve">          Подпрограмма "Профилактика заболеваний и формирование здорового образа жизни"</t>
  </si>
  <si>
    <t>0920000000</t>
  </si>
  <si>
    <t xml:space="preserve">            Проведение мероприятий по профилактике заболеваний ВИЧ/СПИД</t>
  </si>
  <si>
    <t>0920119010</t>
  </si>
  <si>
    <t xml:space="preserve">            Проведение мероприятий по противодействию злоупотребления наркотиками</t>
  </si>
  <si>
    <t>0920119040</t>
  </si>
  <si>
    <t xml:space="preserve">            Содействие в проведении мероприятий по предотвращению асоциальных явлений</t>
  </si>
  <si>
    <t>0920119090</t>
  </si>
  <si>
    <t xml:space="preserve">  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</si>
  <si>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</si>
  <si>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  Подпрограмма "Молодежь Невьянского городского округа"</t>
  </si>
  <si>
    <t>1110000000</t>
  </si>
  <si>
    <t xml:space="preserve">            Реализация  мероприятий  по работе с молодежью на территории Невьянского городского округа</t>
  </si>
  <si>
    <t>1110119700</t>
  </si>
  <si>
    <t xml:space="preserve">            Реализация практик поддержки и развития добровольчества (волонтерства)</t>
  </si>
  <si>
    <t>1110119705</t>
  </si>
  <si>
    <t xml:space="preserve">            Обеспечение деятельности муниципальных учреждений по работе с молодежью</t>
  </si>
  <si>
    <t>1110119710</t>
  </si>
  <si>
    <t xml:space="preserve">  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</si>
  <si>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</si>
  <si>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  Создание и обеспечение деятельности молодежных "коворкинг-центров"</t>
  </si>
  <si>
    <t>1110148600</t>
  </si>
  <si>
    <t>11101S8600</t>
  </si>
  <si>
    <t xml:space="preserve">  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</si>
  <si>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</si>
  <si>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  Мероприятия по  патриотическому воспитанию  граждан</t>
  </si>
  <si>
    <t>1120119730</t>
  </si>
  <si>
    <t xml:space="preserve">            Мероприятия по подготовке молодежи к военной службе</t>
  </si>
  <si>
    <t>1120119740</t>
  </si>
  <si>
    <t xml:space="preserve">            Организация военно-патриотического воспитания и допризывной подготовки молодых граждан</t>
  </si>
  <si>
    <t>1120148700</t>
  </si>
  <si>
    <t xml:space="preserve">            Организация и проведение военно-спортивных игр, военно-спортивных мероприятий</t>
  </si>
  <si>
    <t>11201S8700</t>
  </si>
  <si>
    <t xml:space="preserve">            Проведение мероприятий по профилактике безопасности дорожного движения</t>
  </si>
  <si>
    <t>1500119300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</si>
  <si>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</si>
  <si>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</si>
  <si>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</si>
  <si>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</si>
  <si>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</si>
  <si>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</si>
  <si>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ЗДРАВООХРАНЕНИЕ</t>
  </si>
  <si>
    <t>0900</t>
  </si>
  <si>
    <t xml:space="preserve">      Другие вопросы в области здравоохранения</t>
  </si>
  <si>
    <t>0909</t>
  </si>
  <si>
    <t xml:space="preserve">            Вакцинопрофилактика</t>
  </si>
  <si>
    <t>0920119080</t>
  </si>
  <si>
    <t xml:space="preserve">  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</si>
  <si>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</si>
  <si>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</si>
  <si>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</si>
  <si>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</si>
  <si>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</si>
  <si>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</si>
  <si>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</si>
  <si>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</si>
  <si>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</si>
  <si>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  Осуществление гарантий по пенсионному обеспечению муниципальных служащих</t>
  </si>
  <si>
    <t>1010110060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</si>
  <si>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</si>
  <si>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</si>
  <si>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Социальное обслуживание населения</t>
  </si>
  <si>
    <t>1002</t>
  </si>
  <si>
    <t xml:space="preserve">  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</si>
  <si>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</si>
  <si>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  Оказание услуг (выполнение работ) муниципальным бюджетным учреждением "Ветеран"</t>
  </si>
  <si>
    <t>1240110420</t>
  </si>
  <si>
    <t xml:space="preserve">      Социальное обеспечение населения</t>
  </si>
  <si>
    <t>1003</t>
  </si>
  <si>
    <t xml:space="preserve">            Предоставление материальной помощи гражданам, оказавшимся в трудной жизненной ситуации</t>
  </si>
  <si>
    <t>1010110310</t>
  </si>
  <si>
    <t xml:space="preserve">              Публичные нормативные социальные выплаты гражданам</t>
  </si>
  <si>
    <t>310</t>
  </si>
  <si>
    <t xml:space="preserve">  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</si>
  <si>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</si>
  <si>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  Подпрограмма "Адресная поддержка населения Невьянского городского округа" на 2020 - 2027 годы"</t>
  </si>
  <si>
    <t>1020000000</t>
  </si>
  <si>
    <t xml:space="preserve">  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</si>
  <si>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</si>
  <si>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</si>
  <si>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</si>
  <si>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</si>
  <si>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</si>
  <si>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</si>
  <si>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</si>
  <si>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</si>
  <si>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</si>
  <si>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</si>
  <si>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  Улучшение жилищных условий граждан, проживающих на сельских территориях</t>
  </si>
  <si>
    <t>12101S5762</t>
  </si>
  <si>
    <t xml:space="preserve">      Охрана семьи и детства</t>
  </si>
  <si>
    <t>1004</t>
  </si>
  <si>
    <t xml:space="preserve">  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</si>
  <si>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</si>
  <si>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</si>
  <si>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</si>
  <si>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</si>
  <si>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</si>
  <si>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  Предоставление региональных социальных выплат молодым семьям на улучшение жилищных условий</t>
  </si>
  <si>
    <t>06401S9500</t>
  </si>
  <si>
    <t xml:space="preserve">      Другие вопросы в области социальной политики</t>
  </si>
  <si>
    <t>1006</t>
  </si>
  <si>
    <t xml:space="preserve">  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</si>
  <si>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</si>
  <si>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</si>
  <si>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</si>
  <si>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</si>
  <si>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</si>
  <si>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</si>
  <si>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</si>
  <si>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</si>
  <si>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</si>
  <si>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  Подпрограмма "Развитие дополнительного образования в области физической культуры и спорта"</t>
  </si>
  <si>
    <t>1130000000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</si>
  <si>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</si>
  <si>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</si>
  <si>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</si>
  <si>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</si>
  <si>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  Развитие инфраструктуры объектов спорта</t>
  </si>
  <si>
    <t>1130119770</t>
  </si>
  <si>
    <t xml:space="preserve">      Массовый спорт</t>
  </si>
  <si>
    <t>1102</t>
  </si>
  <si>
    <t xml:space="preserve">  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</si>
  <si>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</si>
  <si>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</si>
  <si>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</si>
  <si>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  Организация и проведение физкультурно-оздоровительных и спортивно-массовых мероприятий</t>
  </si>
  <si>
    <t>1140119790</t>
  </si>
  <si>
    <t xml:space="preserve">            Обеспечение деятельности муниципальных учреждений физической культуры и спорта</t>
  </si>
  <si>
    <t>1140119800</t>
  </si>
  <si>
    <t xml:space="preserve">  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</si>
  <si>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</si>
  <si>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</si>
  <si>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  Спорт высших достижений</t>
  </si>
  <si>
    <t>1103</t>
  </si>
  <si>
    <t xml:space="preserve">    СРЕДСТВА МАССОВОЙ ИНФОРМАЦИИ</t>
  </si>
  <si>
    <t>1200</t>
  </si>
  <si>
    <t xml:space="preserve">      Телевидение и радиовещание</t>
  </si>
  <si>
    <t>1201</t>
  </si>
  <si>
    <t xml:space="preserve">            Оказание услуг (выполнение работ) муниципальным автономным учреждением "Невьянская телестудия"</t>
  </si>
  <si>
    <t>0910213530</t>
  </si>
  <si>
    <t xml:space="preserve">      Периодическая печать и издательства</t>
  </si>
  <si>
    <t>1202</t>
  </si>
  <si>
    <t xml:space="preserve">      Другие вопросы в области средств массовой информации</t>
  </si>
  <si>
    <t>1204</t>
  </si>
  <si>
    <t xml:space="preserve">  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</si>
  <si>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</si>
  <si>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Комитет по управлению муниципальным имуществом администрации Невьянского городского округа</t>
  </si>
  <si>
    <t>902</t>
  </si>
  <si>
    <t xml:space="preserve">  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</si>
  <si>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</si>
  <si>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Управление образования  Невьянского городского округа</t>
  </si>
  <si>
    <t>906</t>
  </si>
  <si>
    <t xml:space="preserve">            Проведение соревнований среди учащихся "Школа безопасности"</t>
  </si>
  <si>
    <t>0210112050</t>
  </si>
  <si>
    <t xml:space="preserve">      Дошкольное образование</t>
  </si>
  <si>
    <t>0701</t>
  </si>
  <si>
    <t xml:space="preserve">        Муниципальная программа "Развитие системы образования в Невьянском городском округе до 2027 года"</t>
  </si>
  <si>
    <t>0700000000</t>
  </si>
  <si>
    <t xml:space="preserve">          Подпрограмма "Развитие системы дошкольного образования в Невьянском городском округе"</t>
  </si>
  <si>
    <t>0710000000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</si>
  <si>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</si>
  <si>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</si>
  <si>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</si>
  <si>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</si>
  <si>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</si>
  <si>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</si>
  <si>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</si>
  <si>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</si>
  <si>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</si>
  <si>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</si>
  <si>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</si>
  <si>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</si>
  <si>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</si>
  <si>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  Общее образование</t>
  </si>
  <si>
    <t>0702</t>
  </si>
  <si>
    <t xml:space="preserve">          Подпрограмма "Развитие системы общего образования в Невьянском городском округе"</t>
  </si>
  <si>
    <t>0720000000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</si>
  <si>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</si>
  <si>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</si>
  <si>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</si>
  <si>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</si>
  <si>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</si>
  <si>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</si>
  <si>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</si>
  <si>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</si>
  <si>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</si>
  <si>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</si>
  <si>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</si>
  <si>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</si>
  <si>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</si>
  <si>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</si>
  <si>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</si>
  <si>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</si>
  <si>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</si>
  <si>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</si>
  <si>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</si>
  <si>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</si>
  <si>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</si>
  <si>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</si>
  <si>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</si>
  <si>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</si>
  <si>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</si>
  <si>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</si>
  <si>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  Создание и оборудование кабинетов "Светофор" в образовательных учреждениях</t>
  </si>
  <si>
    <t>1500119330</t>
  </si>
  <si>
    <t xml:space="preserve">      Дополнительное образование детей</t>
  </si>
  <si>
    <t>0703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</si>
  <si>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</si>
  <si>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</si>
  <si>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  Обеспечение персонифицированного финансирования дополнительного образования</t>
  </si>
  <si>
    <t>0730167340</t>
  </si>
  <si>
    <t xml:space="preserve">      Другие вопросы в области образования</t>
  </si>
  <si>
    <t>0709</t>
  </si>
  <si>
    <t xml:space="preserve">  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</si>
  <si>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</si>
  <si>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  Организация отдыха детей в каникулярное время</t>
  </si>
  <si>
    <t>0730145600</t>
  </si>
  <si>
    <t xml:space="preserve">            Организация отдыха детей в каникулярное время за счет средств местного бюджета</t>
  </si>
  <si>
    <t>07301S5600</t>
  </si>
  <si>
    <t xml:space="preserve">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</si>
  <si>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</si>
  <si>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  Обеспечение деятельности муниципального органа</t>
  </si>
  <si>
    <t>0740111040</t>
  </si>
  <si>
    <t xml:space="preserve">  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</si>
  <si>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</si>
  <si>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</si>
  <si>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</si>
  <si>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Муниципальное казенное учреждение "Управление культуры Невьянского городского округа"</t>
  </si>
  <si>
    <t>908</t>
  </si>
  <si>
    <t xml:space="preserve">        Муниципальная программа "Развитие культуры и туризма в Невьянском городском округе до 2027 года"</t>
  </si>
  <si>
    <t>0800000000</t>
  </si>
  <si>
    <t xml:space="preserve">          Подпрограмма "Развитие туризма в Невьянском городском округе на 2020-2027 годы"</t>
  </si>
  <si>
    <t>0810000000</t>
  </si>
  <si>
    <t xml:space="preserve">            Организация и проведение событийных туристических мероприятий в Невьянском городском округе</t>
  </si>
  <si>
    <t>0810188060</t>
  </si>
  <si>
    <t xml:space="preserve">  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</si>
  <si>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</si>
  <si>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</si>
  <si>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</si>
  <si>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Подпрограмма "Развитие дополнительного образования в области искусства"</t>
  </si>
  <si>
    <t>0830000000</t>
  </si>
  <si>
    <t xml:space="preserve">  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</si>
  <si>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</si>
  <si>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</si>
  <si>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</si>
  <si>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</si>
  <si>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</si>
  <si>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</si>
  <si>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</si>
  <si>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      Подпрограмма "Развитие культуры в Невьянском городском округе" на 2020-2027 годы</t>
  </si>
  <si>
    <t>0820000000</t>
  </si>
  <si>
    <t xml:space="preserve">  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</si>
  <si>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</si>
  <si>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</si>
  <si>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</si>
  <si>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</si>
  <si>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</si>
  <si>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  Мероприятия по восстановлению памятников воинской славы</t>
  </si>
  <si>
    <t>0820188140</t>
  </si>
  <si>
    <t xml:space="preserve">            Общегородские мероприятия в сфере культуры и искусства</t>
  </si>
  <si>
    <t>0820188150</t>
  </si>
  <si>
    <t xml:space="preserve">            Выплата премий   в области культуры</t>
  </si>
  <si>
    <t>0820188160</t>
  </si>
  <si>
    <t xml:space="preserve">            Проведение мероприятий с участием главы Невьянского городского округа</t>
  </si>
  <si>
    <t>0820188170</t>
  </si>
  <si>
    <t xml:space="preserve">  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</si>
  <si>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</si>
  <si>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</si>
  <si>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</si>
  <si>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</si>
  <si>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</si>
  <si>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</si>
  <si>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</si>
  <si>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</si>
  <si>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</si>
  <si>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</si>
  <si>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</si>
  <si>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  Установка пандусов в муниципальных организациях Невьянского городского округа</t>
  </si>
  <si>
    <t>1250188430</t>
  </si>
  <si>
    <t xml:space="preserve">      Другие вопросы в области культуры, кинематографии</t>
  </si>
  <si>
    <t>0804</t>
  </si>
  <si>
    <t xml:space="preserve">  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</si>
  <si>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</si>
  <si>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  Обеспечение деятельности учреждений культуры</t>
  </si>
  <si>
    <t>0840188410</t>
  </si>
  <si>
    <t xml:space="preserve">  Дума Невьянского городского округа</t>
  </si>
  <si>
    <t>912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</si>
  <si>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</si>
  <si>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</si>
  <si>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Председатель Думы Невьянского городского округа</t>
  </si>
  <si>
    <t>7000111030</t>
  </si>
  <si>
    <t>7000111050</t>
  </si>
  <si>
    <t xml:space="preserve">            Обеспечение деятельности Думы Невьянского городского округа</t>
  </si>
  <si>
    <t>7000111130</t>
  </si>
  <si>
    <t xml:space="preserve">  Счетная  комиссия Невьянского городского округа</t>
  </si>
  <si>
    <t>913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</si>
  <si>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</si>
  <si>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</si>
  <si>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Председатель Счетной комиссии Невьянского городского округа</t>
  </si>
  <si>
    <t>7000111060</t>
  </si>
  <si>
    <t xml:space="preserve">            Обеспечение деятельности Счетной комиссии Невьянского городского округа</t>
  </si>
  <si>
    <t>7000111160</t>
  </si>
  <si>
    <t xml:space="preserve">  Финансовое управление администрации Невьянского городского округа</t>
  </si>
  <si>
    <t>919</t>
  </si>
  <si>
    <t xml:space="preserve">  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</si>
  <si>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</si>
  <si>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  Подпрограмма "Совершенствование информационной системы управления финансами"</t>
  </si>
  <si>
    <t>1330000000</t>
  </si>
  <si>
    <t xml:space="preserve">            Сопровождение программных комплексов "ИСУФ", "Бюджет-СМАРТ", "Свод-СМАРТ"</t>
  </si>
  <si>
    <t>133017П320</t>
  </si>
  <si>
    <t xml:space="preserve">  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</si>
  <si>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</si>
  <si>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</si>
  <si>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</si>
  <si>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</si>
  <si>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</si>
  <si>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</si>
  <si>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</si>
  <si>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</si>
  <si>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</si>
  <si>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</si>
  <si>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</si>
  <si>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</si>
  <si>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Подпрограмма "Управление муниципальным долгом"</t>
  </si>
  <si>
    <t>1320000000</t>
  </si>
  <si>
    <t xml:space="preserve">  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</si>
  <si>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</si>
  <si>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  Обслуживание муниципального долга</t>
  </si>
  <si>
    <t>730</t>
  </si>
  <si>
    <t>Всего расходов</t>
  </si>
  <si>
    <t>Код раздела, подраз-дела</t>
  </si>
  <si>
    <t xml:space="preserve">Код гла-
вного распоря-дителя бюджет-ных средств
</t>
  </si>
  <si>
    <t>0320113120</t>
  </si>
  <si>
    <t xml:space="preserve">  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</si>
  <si>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</si>
  <si>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</si>
  <si>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 xml:space="preserve">            Строительство зданий муниципальных общеобразовательных организаций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</si>
  <si>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</si>
  <si>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</si>
  <si>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  Создание в образовательных организациях условий для получения детьми-инвалидами качественного образования</t>
  </si>
  <si>
    <t>0740167410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</si>
  <si>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</si>
  <si>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</si>
  <si>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</si>
  <si>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</si>
  <si>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</si>
  <si>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</si>
  <si>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</si>
  <si>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</si>
  <si>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</si>
  <si>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</si>
  <si>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</si>
  <si>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</si>
  <si>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</si>
  <si>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</si>
  <si>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</si>
  <si>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ИТОГО</t>
  </si>
  <si>
    <t>7000</t>
  </si>
  <si>
    <t>ВСЕГО</t>
  </si>
  <si>
    <t>16</t>
  </si>
  <si>
    <t>0407</t>
  </si>
  <si>
    <t xml:space="preserve">        Лесное хозяйство</t>
  </si>
  <si>
    <t xml:space="preserve"> 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</si>
  <si>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</si>
  <si>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Уплата налогов, сборов и иных платежей</t>
  </si>
  <si>
    <t xml:space="preserve">      Расходы по исполнению предписаний органов, осуществляющих финансовый контроль</t>
  </si>
  <si>
    <t>0550115605</t>
  </si>
  <si>
    <t xml:space="preserve">     Инвентаризация кладбищ (разработка информационной системы, обеспечивающей инвентаризацию мест погребения и захоронения на кладбищах)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</si>
  <si>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</si>
  <si>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</si>
  <si>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</si>
  <si>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</si>
  <si>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бюджетным учреждениям</t>
  </si>
  <si>
    <t xml:space="preserve">            Субсидии автономным учреждениям</t>
  </si>
  <si>
    <t>072EВ51790</t>
  </si>
  <si>
    <t xml:space="preserve"> 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</si>
  <si>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0730145610</t>
  </si>
  <si>
    <t>7000140700</t>
  </si>
  <si>
    <t xml:space="preserve">          Непрограммные мероприятия</t>
  </si>
  <si>
    <t xml:space="preserve">             Резервный фонд Правительства Свердловской области</t>
  </si>
  <si>
    <t>031F367483</t>
  </si>
  <si>
    <t xml:space="preserve">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</si>
  <si>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Содействие в организации электро-, тепло-, газо- и водоснабжения, водоотведения, снабжения населения топливом</t>
  </si>
  <si>
    <t xml:space="preserve">        Организация отдыха детей в каникулярное время</t>
  </si>
  <si>
    <t xml:space="preserve">        Организация отдыха детей в каникулярное время за счет средств местного бюджета</t>
  </si>
  <si>
    <t xml:space="preserve">         Муниципальная программа "Развитие системы образования в Невьянском городском округе до 2027 года"</t>
  </si>
  <si>
    <t xml:space="preserve">           Подпрограмма "Развитие системы дополнительного образования, отдыха и оздоровления детей в Невьянском городском округе"</t>
  </si>
  <si>
    <t>0720167230</t>
  </si>
  <si>
    <t xml:space="preserve">         Организация мероприятий по развитию материально-технической базы муниципальных образовательных организаций</t>
  </si>
  <si>
    <t xml:space="preserve">        Проведение мероприятий по профилактике безопасности дорожного движения</t>
  </si>
  <si>
    <t xml:space="preserve">         Организация отдыха детей в каникулярное время за счет средств местного бюджета</t>
  </si>
  <si>
    <t>0730167310</t>
  </si>
  <si>
    <t>0730167360</t>
  </si>
  <si>
    <t xml:space="preserve">           Обеспечение деятельности образовательных учреждений по осуществлению полномочий по организации отдыха детей в каникулярное время</t>
  </si>
  <si>
    <t xml:space="preserve">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</si>
  <si>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>0720145200</t>
  </si>
  <si>
    <t xml:space="preserve">           Создание в образовательных организациях условий для получения детьми-инвалидами качественного образования</t>
  </si>
  <si>
    <t xml:space="preserve">   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</si>
  <si>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 xml:space="preserve">           Резервный фонд Правительства Свердловской области</t>
  </si>
  <si>
    <t>0210112022</t>
  </si>
  <si>
    <t xml:space="preserve">         Обучение населения способам защиты от опасностей и действиям при чрезвычайных ситуациях</t>
  </si>
  <si>
    <t>0410214250</t>
  </si>
  <si>
    <t xml:space="preserve">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</si>
  <si>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</si>
  <si>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   Переселение граждан из аварийного жилищного фонда</t>
  </si>
  <si>
    <t xml:space="preserve">    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</si>
  <si>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</si>
  <si>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1260143100</t>
  </si>
  <si>
    <t xml:space="preserve">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</si>
  <si>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</si>
  <si>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</si>
  <si>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</si>
  <si>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</si>
  <si>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>7000110010</t>
  </si>
  <si>
    <t xml:space="preserve">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</si>
  <si>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        </t>
  </si>
  <si>
    <t>0740167290</t>
  </si>
  <si>
    <t xml:space="preserve">    Иные выплаты населению</t>
  </si>
  <si>
    <t xml:space="preserve">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</si>
  <si>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0820188215</t>
  </si>
  <si>
    <t xml:space="preserve">     Устройство автономного отопления в учреждениях культуры Невьянского городского округа</t>
  </si>
  <si>
    <t xml:space="preserve">     Резервный фонд Правительства Свердловской области</t>
  </si>
  <si>
    <t xml:space="preserve">  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</si>
  <si>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</si>
  <si>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 xml:space="preserve">            Расходы на выплаты персоналу государственных (муниципальных) органов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</si>
  <si>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</si>
  <si>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    Бюджетные инвестиции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</si>
  <si>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</si>
  <si>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>0320242300</t>
  </si>
  <si>
    <t>03202S2300</t>
  </si>
  <si>
    <t xml:space="preserve">    Другие общегосударственные вопросы</t>
  </si>
  <si>
    <t xml:space="preserve">      Непрограммные мероприятия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</si>
  <si>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</si>
  <si>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 xml:space="preserve">            Исполнение судебных актов</t>
  </si>
  <si>
    <t xml:space="preserve">  ОБЩЕГОСУДАРСТВЕННЫЕ ВОПРОСЫ</t>
  </si>
  <si>
    <t xml:space="preserve">    Другие вопросы в области национальной безопасности и правоохранительной деятельности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</si>
  <si>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</si>
  <si>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1600116020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</si>
  <si>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</si>
  <si>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</si>
  <si>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</si>
  <si>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</si>
  <si>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 xml:space="preserve">            Иные закупки товаров, работ и услуг для обеспечения государственных (муниципальных) нужд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</si>
  <si>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</si>
  <si>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7000155490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</si>
  <si>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</si>
  <si>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>0820146500</t>
  </si>
  <si>
    <t xml:space="preserve">  НАЦИОНАЛЬНАЯ БЕЗОПАСНОСТЬ И ПРАВООХРАНИТЕЛЬНАЯ ДЕЯТЕЛЬНОСТЬ</t>
  </si>
  <si>
    <t xml:space="preserve">   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</si>
  <si>
    <t>7000140600</t>
  </si>
  <si>
    <t xml:space="preserve">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</si>
  <si>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0610140500</t>
  </si>
  <si>
    <t xml:space="preserve">       Расходы на приобретение имущества в казну Невьянского городского округа</t>
  </si>
  <si>
    <t xml:space="preserve">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</si>
  <si>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0530115385</t>
  </si>
  <si>
    <t xml:space="preserve">         Субсидии из местного бюджета МП "Приозёрный" Невьянского городского округа на возмещение затрат по приобретению электроэнергии, понесенных при выполнении работ, оказании услуг, в целях обеспечения надежного и бесперебойного водоснабжения и водоотведения потребителей на территории Невьянского городского округа</t>
  </si>
  <si>
    <t xml:space="preserve">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</si>
  <si>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</si>
  <si>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Непрограммные мероприятия</t>
  </si>
  <si>
    <t xml:space="preserve">         Непрограммные мероприятия</t>
  </si>
  <si>
    <t xml:space="preserve">           Непрограммные мероприятия</t>
  </si>
  <si>
    <t xml:space="preserve"> 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</si>
  <si>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</si>
  <si>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0720150500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</si>
  <si>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государственных профессиональных образовательных организаций на условиях софинансирования из федерального бюджета</t>
  </si>
  <si>
    <t>0740167420</t>
  </si>
  <si>
    <t xml:space="preserve">     Участие в конкурсах (мероприятиях) профессионального мастерства Всероссийского значения</t>
  </si>
  <si>
    <t xml:space="preserve">       Непрограммные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</si>
</sst>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42">
    <xf numFmtId="0" fontId="0" fillId="0" borderId="0" xfId="0"/>
    <xf numFmtId="0" fontId="2" fillId="0" borderId="0" xfId="1"/>
    <xf numFmtId="0" fontId="6" fillId="0" borderId="0" xfId="3" applyNumberFormat="1" applyFont="1" applyProtection="1"/>
    <xf numFmtId="0" fontId="6" fillId="0" borderId="0" xfId="2" applyNumberFormat="1" applyFont="1" applyAlignment="1" applyProtection="1">
      <alignment wrapText="1"/>
    </xf>
    <xf numFmtId="0" fontId="6" fillId="0" borderId="0" xfId="2" applyFont="1" applyAlignment="1">
      <alignment wrapText="1"/>
    </xf>
    <xf numFmtId="0" fontId="6" fillId="0" borderId="0" xfId="4" applyNumberFormat="1" applyFont="1" applyAlignment="1" applyProtection="1"/>
    <xf numFmtId="0" fontId="6" fillId="0" borderId="0" xfId="4" applyFont="1" applyAlignment="1"/>
    <xf numFmtId="0" fontId="6" fillId="0" borderId="0" xfId="3" applyNumberFormat="1" applyFont="1" applyFill="1" applyProtection="1"/>
    <xf numFmtId="0" fontId="6" fillId="0" borderId="0" xfId="4" applyFont="1" applyFill="1" applyAlignment="1"/>
    <xf numFmtId="0" fontId="6" fillId="0" borderId="3" xfId="6" applyNumberFormat="1" applyFont="1" applyBorder="1" applyAlignment="1" applyProtection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/>
      <protection locked="0"/>
    </xf>
    <xf numFmtId="0" fontId="6" fillId="0" borderId="0" xfId="3" applyNumberFormat="1" applyFont="1" applyAlignment="1" applyProtection="1">
      <alignment horizontal="center" vertical="top"/>
    </xf>
    <xf numFmtId="4" fontId="10" fillId="0" borderId="3" xfId="9" applyNumberFormat="1" applyFont="1" applyFill="1" applyBorder="1" applyProtection="1">
      <alignment horizontal="right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4" fontId="10" fillId="0" borderId="3" xfId="12" applyNumberFormat="1" applyFont="1" applyFill="1" applyBorder="1" applyProtection="1">
      <alignment horizontal="right" vertical="top" shrinkToFi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0" fontId="12" fillId="0" borderId="3" xfId="1" applyFont="1" applyBorder="1" applyAlignment="1">
      <alignment vertical="top"/>
    </xf>
    <xf numFmtId="0" fontId="9" fillId="0" borderId="3" xfId="1" applyFont="1" applyBorder="1" applyAlignment="1">
      <alignment vertical="top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0" fillId="0" borderId="0" xfId="0" applyNumberFormat="1"/>
    <xf numFmtId="0" fontId="8" fillId="0" borderId="3" xfId="0" applyFont="1" applyBorder="1"/>
    <xf numFmtId="49" fontId="8" fillId="0" borderId="3" xfId="0" applyNumberFormat="1" applyFont="1" applyBorder="1"/>
    <xf numFmtId="4" fontId="8" fillId="0" borderId="3" xfId="0" applyNumberFormat="1" applyFont="1" applyBorder="1"/>
    <xf numFmtId="0" fontId="13" fillId="0" borderId="0" xfId="0" applyFont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4" fillId="0" borderId="3" xfId="7" applyNumberFormat="1" applyFont="1" applyFill="1" applyBorder="1" applyProtection="1">
      <alignment vertical="top" wrapText="1"/>
    </xf>
    <xf numFmtId="1" fontId="14" fillId="0" borderId="3" xfId="8" applyNumberFormat="1" applyFont="1" applyFill="1" applyBorder="1" applyProtection="1">
      <alignment horizontal="center" vertical="top" shrinkToFit="1"/>
    </xf>
    <xf numFmtId="4" fontId="14" fillId="0" borderId="3" xfId="9" applyNumberFormat="1" applyFont="1" applyFill="1" applyBorder="1" applyProtection="1">
      <alignment horizontal="right" vertical="top" shrinkToFit="1"/>
    </xf>
    <xf numFmtId="0" fontId="0" fillId="0" borderId="0" xfId="0" applyFont="1"/>
    <xf numFmtId="0" fontId="10" fillId="0" borderId="4" xfId="11" applyNumberFormat="1" applyFont="1" applyFill="1" applyBorder="1" applyAlignment="1" applyProtection="1">
      <alignment horizontal="left"/>
    </xf>
    <xf numFmtId="0" fontId="10" fillId="0" borderId="5" xfId="11" applyFont="1" applyFill="1" applyBorder="1" applyAlignment="1">
      <alignment horizontal="left"/>
    </xf>
    <xf numFmtId="0" fontId="10" fillId="0" borderId="6" xfId="11" applyFont="1" applyFill="1" applyBorder="1" applyAlignment="1">
      <alignment horizontal="left"/>
    </xf>
    <xf numFmtId="0" fontId="8" fillId="0" borderId="0" xfId="26" applyFont="1" applyAlignment="1">
      <alignment horizontal="left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11" fontId="9" fillId="0" borderId="0" xfId="1" applyNumberFormat="1" applyFont="1" applyAlignment="1" applyProtection="1">
      <alignment horizontal="center" vertical="top" wrapText="1"/>
      <protection locked="0"/>
    </xf>
    <xf numFmtId="0" fontId="6" fillId="0" borderId="3" xfId="5" applyFont="1" applyFill="1" applyBorder="1" applyAlignment="1">
      <alignment horizontal="center" vertical="top"/>
    </xf>
    <xf numFmtId="0" fontId="6" fillId="0" borderId="3" xfId="1" applyFont="1" applyBorder="1" applyAlignment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5"/>
  <sheetViews>
    <sheetView tabSelected="1" view="pageBreakPreview" zoomScale="108" zoomScaleSheetLayoutView="108" workbookViewId="0">
      <selection activeCell="B1069" sqref="B1069"/>
    </sheetView>
  </sheetViews>
  <sheetFormatPr defaultRowHeight="15" x14ac:dyDescent="0.25"/>
  <cols>
    <col min="1" max="1" width="8.5703125" customWidth="1"/>
    <col min="2" max="2" width="47.85546875" customWidth="1"/>
    <col min="3" max="3" width="9.85546875" customWidth="1"/>
    <col min="4" max="4" width="10.140625" customWidth="1"/>
    <col min="5" max="5" width="15" customWidth="1"/>
    <col min="6" max="6" width="10.42578125" customWidth="1"/>
    <col min="7" max="7" width="16.28515625" customWidth="1"/>
    <col min="8" max="9" width="16.42578125" bestFit="1" customWidth="1"/>
  </cols>
  <sheetData>
    <row r="1" spans="1:10" ht="18" x14ac:dyDescent="0.25">
      <c r="A1" s="1"/>
      <c r="B1" s="1"/>
      <c r="C1" s="1"/>
      <c r="D1" s="1"/>
      <c r="E1" s="36" t="s">
        <v>0</v>
      </c>
      <c r="F1" s="36"/>
      <c r="G1" s="36"/>
      <c r="H1" s="36"/>
      <c r="I1" s="36"/>
      <c r="J1" s="1"/>
    </row>
    <row r="2" spans="1:10" ht="18" x14ac:dyDescent="0.25">
      <c r="A2" s="1"/>
      <c r="B2" s="1"/>
      <c r="C2" s="1"/>
      <c r="D2" s="1"/>
      <c r="E2" s="36" t="s">
        <v>1</v>
      </c>
      <c r="F2" s="36"/>
      <c r="G2" s="36"/>
      <c r="H2" s="36"/>
      <c r="I2" s="36"/>
      <c r="J2" s="1"/>
    </row>
    <row r="3" spans="1:10" ht="18" x14ac:dyDescent="0.25">
      <c r="A3" s="1"/>
      <c r="B3" s="1"/>
      <c r="C3" s="1"/>
      <c r="D3" s="1"/>
      <c r="E3" s="36" t="s">
        <v>2</v>
      </c>
      <c r="F3" s="36"/>
      <c r="G3" s="36"/>
      <c r="H3" s="36"/>
      <c r="I3" s="36"/>
      <c r="J3" s="1"/>
    </row>
    <row r="4" spans="1:10" ht="18" x14ac:dyDescent="0.25">
      <c r="A4" s="1"/>
      <c r="B4" s="1"/>
      <c r="C4" s="1"/>
      <c r="D4" s="1"/>
      <c r="E4" s="36" t="s">
        <v>3</v>
      </c>
      <c r="F4" s="36"/>
      <c r="G4" s="36"/>
      <c r="H4" s="36"/>
      <c r="I4" s="36"/>
      <c r="J4" s="1"/>
    </row>
    <row r="5" spans="1:10" ht="15.75" x14ac:dyDescent="0.25">
      <c r="A5" s="1"/>
      <c r="B5" s="3"/>
      <c r="C5" s="4"/>
      <c r="D5" s="4"/>
      <c r="E5" s="4"/>
      <c r="F5" s="4"/>
      <c r="G5" s="7"/>
      <c r="H5" s="7"/>
      <c r="I5" s="7"/>
      <c r="J5" s="2"/>
    </row>
    <row r="6" spans="1:10" ht="42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2"/>
    </row>
    <row r="7" spans="1:10" ht="15.75" x14ac:dyDescent="0.25">
      <c r="A7" s="1"/>
      <c r="B7" s="5"/>
      <c r="C7" s="6"/>
      <c r="D7" s="6"/>
      <c r="E7" s="6"/>
      <c r="F7" s="6"/>
      <c r="G7" s="8"/>
      <c r="H7" s="8"/>
      <c r="I7" s="8"/>
      <c r="J7" s="2"/>
    </row>
    <row r="8" spans="1:10" ht="15.75" x14ac:dyDescent="0.25">
      <c r="A8" s="37" t="s">
        <v>5</v>
      </c>
      <c r="B8" s="40" t="s">
        <v>6</v>
      </c>
      <c r="C8" s="41" t="s">
        <v>764</v>
      </c>
      <c r="D8" s="41" t="s">
        <v>763</v>
      </c>
      <c r="E8" s="41" t="s">
        <v>7</v>
      </c>
      <c r="F8" s="41" t="s">
        <v>8</v>
      </c>
      <c r="G8" s="39" t="s">
        <v>9</v>
      </c>
      <c r="H8" s="39"/>
      <c r="I8" s="39"/>
      <c r="J8" s="2"/>
    </row>
    <row r="9" spans="1:10" ht="96" customHeight="1" x14ac:dyDescent="0.25">
      <c r="A9" s="37"/>
      <c r="B9" s="40"/>
      <c r="C9" s="41"/>
      <c r="D9" s="41"/>
      <c r="E9" s="41"/>
      <c r="F9" s="41"/>
      <c r="G9" s="10" t="s">
        <v>10</v>
      </c>
      <c r="H9" s="10" t="s">
        <v>11</v>
      </c>
      <c r="I9" s="10" t="s">
        <v>12</v>
      </c>
      <c r="J9" s="2"/>
    </row>
    <row r="10" spans="1:10" x14ac:dyDescent="0.25">
      <c r="A10" s="11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10">
        <v>7</v>
      </c>
      <c r="H10" s="10">
        <v>8</v>
      </c>
      <c r="I10" s="10">
        <v>9</v>
      </c>
      <c r="J10" s="12"/>
    </row>
    <row r="11" spans="1:10" ht="36" x14ac:dyDescent="0.25">
      <c r="A11" s="19">
        <v>1</v>
      </c>
      <c r="B11" s="20" t="s">
        <v>13</v>
      </c>
      <c r="C11" s="21" t="s">
        <v>14</v>
      </c>
      <c r="D11" s="21"/>
      <c r="E11" s="21"/>
      <c r="F11" s="21"/>
      <c r="G11" s="13">
        <f>SUM(G12+G93+G159+G275+G453+G480+G533+G539+G547+G622+G665)</f>
        <v>1542275.64</v>
      </c>
      <c r="H11" s="13">
        <f>SUM(H12+H93+H159+H275+H453+H480+H533+H539+H547+H622+H665)</f>
        <v>1069764.95</v>
      </c>
      <c r="I11" s="13">
        <f>SUM(I12+I93+I159+I275+I453+I480+I533+I539+I547+I622+I665)</f>
        <v>914935.65</v>
      </c>
      <c r="J11" s="2"/>
    </row>
    <row r="12" spans="1:10" ht="36" x14ac:dyDescent="0.25">
      <c r="A12" s="19">
        <f>SUM(A11+1)</f>
        <v>2</v>
      </c>
      <c r="B12" s="20" t="s">
        <v>15</v>
      </c>
      <c r="C12" s="21" t="s">
        <v>14</v>
      </c>
      <c r="D12" s="21" t="s">
        <v>16</v>
      </c>
      <c r="E12" s="21"/>
      <c r="F12" s="21"/>
      <c r="G12" s="13">
        <f>SUM(G13+G25+G44+G49+G53)</f>
        <v>210748.18000000002</v>
      </c>
      <c r="H12" s="13">
        <f>SUM(H13+H25+H44+H49+H53)</f>
        <v>144621.22</v>
      </c>
      <c r="I12" s="13">
        <f>SUM(I13+I25+I44+I49+I53)</f>
        <v>146176.29</v>
      </c>
      <c r="J12" s="2"/>
    </row>
    <row r="13" spans="1:10" ht="72" x14ac:dyDescent="0.25">
      <c r="A13" s="19">
        <f t="shared" ref="A13:A96" si="0">SUM(A12+1)</f>
        <v>3</v>
      </c>
      <c r="B13" s="20" t="s">
        <v>17</v>
      </c>
      <c r="C13" s="21" t="s">
        <v>14</v>
      </c>
      <c r="D13" s="21" t="s">
        <v>18</v>
      </c>
      <c r="E13" s="21"/>
      <c r="F13" s="21"/>
      <c r="G13" s="13">
        <f>SUM(G14+G18)</f>
        <v>3618.61</v>
      </c>
      <c r="H13" s="13">
        <f t="shared" ref="H13:I13" si="1">SUM(H14+H18)</f>
        <v>3411.6</v>
      </c>
      <c r="I13" s="13">
        <f t="shared" si="1"/>
        <v>3548.3</v>
      </c>
    </row>
    <row r="14" spans="1:10" ht="75.75" customHeight="1" x14ac:dyDescent="0.25">
      <c r="A14" s="18">
        <f t="shared" si="0"/>
        <v>4</v>
      </c>
      <c r="B14" s="16" t="s">
        <v>19</v>
      </c>
      <c r="C14" s="17" t="s">
        <v>14</v>
      </c>
      <c r="D14" s="17" t="s">
        <v>18</v>
      </c>
      <c r="E14" s="17" t="s">
        <v>20</v>
      </c>
      <c r="F14" s="17"/>
      <c r="G14" s="14">
        <f>SUM(G15)</f>
        <v>3268.5</v>
      </c>
      <c r="H14" s="14">
        <f t="shared" ref="H14:I15" si="2">SUM(H15)</f>
        <v>3411.6</v>
      </c>
      <c r="I14" s="14">
        <f t="shared" si="2"/>
        <v>3548.3</v>
      </c>
    </row>
    <row r="15" spans="1:10" ht="90.75" customHeight="1" x14ac:dyDescent="0.25">
      <c r="A15" s="18">
        <f t="shared" si="0"/>
        <v>5</v>
      </c>
      <c r="B15" s="16" t="s">
        <v>21</v>
      </c>
      <c r="C15" s="17" t="s">
        <v>14</v>
      </c>
      <c r="D15" s="17" t="s">
        <v>18</v>
      </c>
      <c r="E15" s="17" t="s">
        <v>22</v>
      </c>
      <c r="F15" s="17"/>
      <c r="G15" s="14">
        <f>SUM(G16)</f>
        <v>3268.5</v>
      </c>
      <c r="H15" s="14">
        <f t="shared" si="2"/>
        <v>3411.6</v>
      </c>
      <c r="I15" s="14">
        <f t="shared" si="2"/>
        <v>3548.3</v>
      </c>
    </row>
    <row r="16" spans="1:10" ht="18" x14ac:dyDescent="0.25">
      <c r="A16" s="18">
        <f t="shared" si="0"/>
        <v>6</v>
      </c>
      <c r="B16" s="16" t="s">
        <v>23</v>
      </c>
      <c r="C16" s="17" t="s">
        <v>14</v>
      </c>
      <c r="D16" s="17" t="s">
        <v>18</v>
      </c>
      <c r="E16" s="17" t="s">
        <v>24</v>
      </c>
      <c r="F16" s="17"/>
      <c r="G16" s="14">
        <f>SUM(G17)</f>
        <v>3268.5</v>
      </c>
      <c r="H16" s="14">
        <f t="shared" ref="H16:I16" si="3">SUM(H17)</f>
        <v>3411.6</v>
      </c>
      <c r="I16" s="14">
        <f t="shared" si="3"/>
        <v>3548.3</v>
      </c>
    </row>
    <row r="17" spans="1:9" ht="54" x14ac:dyDescent="0.25">
      <c r="A17" s="18">
        <f t="shared" si="0"/>
        <v>7</v>
      </c>
      <c r="B17" s="16" t="s">
        <v>25</v>
      </c>
      <c r="C17" s="17" t="s">
        <v>14</v>
      </c>
      <c r="D17" s="17" t="s">
        <v>18</v>
      </c>
      <c r="E17" s="17" t="s">
        <v>24</v>
      </c>
      <c r="F17" s="17" t="s">
        <v>26</v>
      </c>
      <c r="G17" s="14">
        <v>3268.5</v>
      </c>
      <c r="H17" s="14">
        <v>3411.6</v>
      </c>
      <c r="I17" s="14">
        <v>3548.3</v>
      </c>
    </row>
    <row r="18" spans="1:9" ht="18" x14ac:dyDescent="0.25">
      <c r="A18" s="18">
        <f t="shared" si="0"/>
        <v>8</v>
      </c>
      <c r="B18" s="16" t="s">
        <v>811</v>
      </c>
      <c r="C18" s="17" t="s">
        <v>14</v>
      </c>
      <c r="D18" s="17" t="s">
        <v>18</v>
      </c>
      <c r="E18" s="27" t="s">
        <v>45</v>
      </c>
      <c r="F18" s="17"/>
      <c r="G18" s="14">
        <f>SUM(G21+G23+G19)</f>
        <v>350.11</v>
      </c>
      <c r="H18" s="14">
        <f t="shared" ref="H18:I18" si="4">SUM(H21+H23+H19)</f>
        <v>0</v>
      </c>
      <c r="I18" s="14">
        <f t="shared" si="4"/>
        <v>0</v>
      </c>
    </row>
    <row r="19" spans="1:9" ht="144" x14ac:dyDescent="0.25">
      <c r="A19" s="18">
        <f t="shared" si="0"/>
        <v>9</v>
      </c>
      <c r="B19" s="16" t="s">
        <v>883</v>
      </c>
      <c r="C19" s="17" t="s">
        <v>14</v>
      </c>
      <c r="D19" s="17" t="s">
        <v>18</v>
      </c>
      <c r="E19" s="27" t="s">
        <v>882</v>
      </c>
      <c r="F19" s="17"/>
      <c r="G19" s="14">
        <f>SUM(G20)</f>
        <v>105.18</v>
      </c>
      <c r="H19" s="14">
        <f t="shared" ref="H19:I19" si="5">SUM(H20)</f>
        <v>0</v>
      </c>
      <c r="I19" s="14">
        <f t="shared" si="5"/>
        <v>0</v>
      </c>
    </row>
    <row r="20" spans="1:9" ht="54" x14ac:dyDescent="0.25">
      <c r="A20" s="18">
        <f t="shared" si="0"/>
        <v>10</v>
      </c>
      <c r="B20" s="16" t="s">
        <v>25</v>
      </c>
      <c r="C20" s="17" t="s">
        <v>14</v>
      </c>
      <c r="D20" s="17" t="s">
        <v>18</v>
      </c>
      <c r="E20" s="27" t="s">
        <v>882</v>
      </c>
      <c r="F20" s="17">
        <v>120</v>
      </c>
      <c r="G20" s="14">
        <v>105.18</v>
      </c>
      <c r="H20" s="14">
        <v>0</v>
      </c>
      <c r="I20" s="14">
        <v>0</v>
      </c>
    </row>
    <row r="21" spans="1:9" ht="36" x14ac:dyDescent="0.25">
      <c r="A21" s="18">
        <f t="shared" si="0"/>
        <v>11</v>
      </c>
      <c r="B21" s="16" t="s">
        <v>831</v>
      </c>
      <c r="C21" s="17" t="s">
        <v>14</v>
      </c>
      <c r="D21" s="17" t="s">
        <v>18</v>
      </c>
      <c r="E21" s="27" t="s">
        <v>810</v>
      </c>
      <c r="F21" s="17"/>
      <c r="G21" s="14">
        <f>SUM(G22)</f>
        <v>101.71</v>
      </c>
      <c r="H21" s="14">
        <f t="shared" ref="H21:I21" si="6">SUM(H22)</f>
        <v>0</v>
      </c>
      <c r="I21" s="14">
        <f t="shared" si="6"/>
        <v>0</v>
      </c>
    </row>
    <row r="22" spans="1:9" ht="54" x14ac:dyDescent="0.25">
      <c r="A22" s="18">
        <f t="shared" si="0"/>
        <v>12</v>
      </c>
      <c r="B22" s="16" t="s">
        <v>25</v>
      </c>
      <c r="C22" s="17" t="s">
        <v>14</v>
      </c>
      <c r="D22" s="17" t="s">
        <v>18</v>
      </c>
      <c r="E22" s="27" t="s">
        <v>810</v>
      </c>
      <c r="F22" s="17">
        <v>120</v>
      </c>
      <c r="G22" s="14">
        <v>101.71</v>
      </c>
      <c r="H22" s="14">
        <v>0</v>
      </c>
      <c r="I22" s="14">
        <v>0</v>
      </c>
    </row>
    <row r="23" spans="1:9" ht="126" x14ac:dyDescent="0.25">
      <c r="A23" s="18">
        <f t="shared" si="0"/>
        <v>13</v>
      </c>
      <c r="B23" s="16" t="s">
        <v>856</v>
      </c>
      <c r="C23" s="17" t="s">
        <v>14</v>
      </c>
      <c r="D23" s="17" t="s">
        <v>18</v>
      </c>
      <c r="E23" s="17">
        <v>7000155490</v>
      </c>
      <c r="F23" s="17"/>
      <c r="G23" s="14">
        <f>SUM(G24)</f>
        <v>143.22</v>
      </c>
      <c r="H23" s="14">
        <f t="shared" ref="H23:I23" si="7">SUM(H24)</f>
        <v>0</v>
      </c>
      <c r="I23" s="14">
        <f t="shared" si="7"/>
        <v>0</v>
      </c>
    </row>
    <row r="24" spans="1:9" ht="54" x14ac:dyDescent="0.25">
      <c r="A24" s="18">
        <f t="shared" si="0"/>
        <v>14</v>
      </c>
      <c r="B24" s="16" t="s">
        <v>857</v>
      </c>
      <c r="C24" s="17" t="s">
        <v>14</v>
      </c>
      <c r="D24" s="17" t="s">
        <v>18</v>
      </c>
      <c r="E24" s="17">
        <v>7000155490</v>
      </c>
      <c r="F24" s="17">
        <v>120</v>
      </c>
      <c r="G24" s="14">
        <v>143.22</v>
      </c>
      <c r="H24" s="14">
        <v>0</v>
      </c>
      <c r="I24" s="14">
        <v>0</v>
      </c>
    </row>
    <row r="25" spans="1:9" ht="126" x14ac:dyDescent="0.25">
      <c r="A25" s="19">
        <f t="shared" si="0"/>
        <v>15</v>
      </c>
      <c r="B25" s="20" t="s">
        <v>27</v>
      </c>
      <c r="C25" s="21" t="s">
        <v>14</v>
      </c>
      <c r="D25" s="21" t="s">
        <v>28</v>
      </c>
      <c r="E25" s="21"/>
      <c r="F25" s="21"/>
      <c r="G25" s="13">
        <f>SUM(G26+G37)</f>
        <v>124854.41000000002</v>
      </c>
      <c r="H25" s="13">
        <f t="shared" ref="H25:I25" si="8">SUM(H26+H37)</f>
        <v>123849.22</v>
      </c>
      <c r="I25" s="13">
        <f t="shared" si="8"/>
        <v>128191.79</v>
      </c>
    </row>
    <row r="26" spans="1:9" ht="75.75" customHeight="1" x14ac:dyDescent="0.25">
      <c r="A26" s="18">
        <f t="shared" si="0"/>
        <v>16</v>
      </c>
      <c r="B26" s="16" t="s">
        <v>19</v>
      </c>
      <c r="C26" s="17" t="s">
        <v>14</v>
      </c>
      <c r="D26" s="17" t="s">
        <v>28</v>
      </c>
      <c r="E26" s="17" t="s">
        <v>20</v>
      </c>
      <c r="F26" s="17"/>
      <c r="G26" s="14">
        <f>SUM(G27+G31)</f>
        <v>122948.03000000001</v>
      </c>
      <c r="H26" s="14">
        <f>SUM(H27+H31)</f>
        <v>123849.22</v>
      </c>
      <c r="I26" s="14">
        <f>SUM(I27+I31)</f>
        <v>128191.79</v>
      </c>
    </row>
    <row r="27" spans="1:9" ht="54" x14ac:dyDescent="0.25">
      <c r="A27" s="18">
        <f t="shared" si="0"/>
        <v>17</v>
      </c>
      <c r="B27" s="16" t="s">
        <v>29</v>
      </c>
      <c r="C27" s="17" t="s">
        <v>14</v>
      </c>
      <c r="D27" s="17" t="s">
        <v>28</v>
      </c>
      <c r="E27" s="17" t="s">
        <v>30</v>
      </c>
      <c r="F27" s="17"/>
      <c r="G27" s="14">
        <f>SUM(G28)</f>
        <v>339</v>
      </c>
      <c r="H27" s="14">
        <f t="shared" ref="H27:I27" si="9">SUM(H28)</f>
        <v>189</v>
      </c>
      <c r="I27" s="14">
        <f t="shared" si="9"/>
        <v>189</v>
      </c>
    </row>
    <row r="28" spans="1:9" ht="94.5" customHeight="1" x14ac:dyDescent="0.25">
      <c r="A28" s="18">
        <f t="shared" si="0"/>
        <v>18</v>
      </c>
      <c r="B28" s="16" t="s">
        <v>31</v>
      </c>
      <c r="C28" s="17" t="s">
        <v>14</v>
      </c>
      <c r="D28" s="17" t="s">
        <v>28</v>
      </c>
      <c r="E28" s="17" t="s">
        <v>32</v>
      </c>
      <c r="F28" s="17"/>
      <c r="G28" s="14">
        <f>SUM(G29:G30)</f>
        <v>339</v>
      </c>
      <c r="H28" s="14">
        <f t="shared" ref="H28:I28" si="10">SUM(H29:H30)</f>
        <v>189</v>
      </c>
      <c r="I28" s="14">
        <f t="shared" si="10"/>
        <v>189</v>
      </c>
    </row>
    <row r="29" spans="1:9" ht="54" x14ac:dyDescent="0.25">
      <c r="A29" s="18">
        <f t="shared" si="0"/>
        <v>19</v>
      </c>
      <c r="B29" s="16" t="s">
        <v>25</v>
      </c>
      <c r="C29" s="17" t="s">
        <v>14</v>
      </c>
      <c r="D29" s="17" t="s">
        <v>28</v>
      </c>
      <c r="E29" s="17" t="s">
        <v>32</v>
      </c>
      <c r="F29" s="17" t="s">
        <v>26</v>
      </c>
      <c r="G29" s="14">
        <v>258.14</v>
      </c>
      <c r="H29" s="14">
        <v>89</v>
      </c>
      <c r="I29" s="14">
        <v>89</v>
      </c>
    </row>
    <row r="30" spans="1:9" ht="61.5" customHeight="1" x14ac:dyDescent="0.25">
      <c r="A30" s="18">
        <f t="shared" si="0"/>
        <v>20</v>
      </c>
      <c r="B30" s="16" t="s">
        <v>33</v>
      </c>
      <c r="C30" s="17" t="s">
        <v>14</v>
      </c>
      <c r="D30" s="17" t="s">
        <v>28</v>
      </c>
      <c r="E30" s="17" t="s">
        <v>32</v>
      </c>
      <c r="F30" s="17" t="s">
        <v>34</v>
      </c>
      <c r="G30" s="14">
        <v>80.86</v>
      </c>
      <c r="H30" s="14">
        <v>100</v>
      </c>
      <c r="I30" s="14">
        <v>100</v>
      </c>
    </row>
    <row r="31" spans="1:9" ht="93" customHeight="1" x14ac:dyDescent="0.25">
      <c r="A31" s="18">
        <f>SUM(A30+1)</f>
        <v>21</v>
      </c>
      <c r="B31" s="16" t="s">
        <v>21</v>
      </c>
      <c r="C31" s="17" t="s">
        <v>14</v>
      </c>
      <c r="D31" s="17" t="s">
        <v>28</v>
      </c>
      <c r="E31" s="17" t="s">
        <v>22</v>
      </c>
      <c r="F31" s="17"/>
      <c r="G31" s="14">
        <f>SUM(G32)</f>
        <v>122609.03000000001</v>
      </c>
      <c r="H31" s="14">
        <f t="shared" ref="H31:I31" si="11">SUM(H32)</f>
        <v>123660.22</v>
      </c>
      <c r="I31" s="14">
        <f t="shared" si="11"/>
        <v>128002.79</v>
      </c>
    </row>
    <row r="32" spans="1:9" ht="36" x14ac:dyDescent="0.25">
      <c r="A32" s="18">
        <f t="shared" si="0"/>
        <v>22</v>
      </c>
      <c r="B32" s="16" t="s">
        <v>35</v>
      </c>
      <c r="C32" s="17" t="s">
        <v>14</v>
      </c>
      <c r="D32" s="17" t="s">
        <v>28</v>
      </c>
      <c r="E32" s="17" t="s">
        <v>36</v>
      </c>
      <c r="F32" s="17"/>
      <c r="G32" s="14">
        <f>SUM(G33:G36)</f>
        <v>122609.03000000001</v>
      </c>
      <c r="H32" s="14">
        <f t="shared" ref="H32:I32" si="12">SUM(H33:H36)</f>
        <v>123660.22</v>
      </c>
      <c r="I32" s="14">
        <f t="shared" si="12"/>
        <v>128002.79</v>
      </c>
    </row>
    <row r="33" spans="1:9" ht="54" x14ac:dyDescent="0.25">
      <c r="A33" s="18">
        <f t="shared" si="0"/>
        <v>23</v>
      </c>
      <c r="B33" s="16" t="s">
        <v>25</v>
      </c>
      <c r="C33" s="17" t="s">
        <v>14</v>
      </c>
      <c r="D33" s="17" t="s">
        <v>28</v>
      </c>
      <c r="E33" s="17" t="s">
        <v>36</v>
      </c>
      <c r="F33" s="17" t="s">
        <v>26</v>
      </c>
      <c r="G33" s="14">
        <f>105812.32+75+1792.16</f>
        <v>107679.48000000001</v>
      </c>
      <c r="H33" s="14">
        <v>108816.1</v>
      </c>
      <c r="I33" s="14">
        <v>112853.4</v>
      </c>
    </row>
    <row r="34" spans="1:9" ht="55.5" customHeight="1" x14ac:dyDescent="0.25">
      <c r="A34" s="18">
        <f t="shared" si="0"/>
        <v>24</v>
      </c>
      <c r="B34" s="16" t="s">
        <v>33</v>
      </c>
      <c r="C34" s="17" t="s">
        <v>14</v>
      </c>
      <c r="D34" s="17" t="s">
        <v>28</v>
      </c>
      <c r="E34" s="17" t="s">
        <v>36</v>
      </c>
      <c r="F34" s="17" t="s">
        <v>34</v>
      </c>
      <c r="G34" s="14">
        <f>14417.34-75</f>
        <v>14342.34</v>
      </c>
      <c r="H34" s="14">
        <v>14784.12</v>
      </c>
      <c r="I34" s="14">
        <v>15089.39</v>
      </c>
    </row>
    <row r="35" spans="1:9" ht="55.5" customHeight="1" x14ac:dyDescent="0.25">
      <c r="A35" s="18">
        <f t="shared" si="0"/>
        <v>25</v>
      </c>
      <c r="B35" s="16" t="s">
        <v>491</v>
      </c>
      <c r="C35" s="17" t="s">
        <v>14</v>
      </c>
      <c r="D35" s="17" t="s">
        <v>28</v>
      </c>
      <c r="E35" s="17" t="s">
        <v>36</v>
      </c>
      <c r="F35" s="17">
        <v>320</v>
      </c>
      <c r="G35" s="14">
        <v>2.21</v>
      </c>
      <c r="H35" s="14">
        <v>0</v>
      </c>
      <c r="I35" s="14">
        <v>0</v>
      </c>
    </row>
    <row r="36" spans="1:9" ht="36" x14ac:dyDescent="0.25">
      <c r="A36" s="18">
        <f t="shared" si="0"/>
        <v>26</v>
      </c>
      <c r="B36" s="16" t="s">
        <v>37</v>
      </c>
      <c r="C36" s="17" t="s">
        <v>14</v>
      </c>
      <c r="D36" s="17" t="s">
        <v>28</v>
      </c>
      <c r="E36" s="17" t="s">
        <v>36</v>
      </c>
      <c r="F36" s="17" t="s">
        <v>38</v>
      </c>
      <c r="G36" s="14">
        <f>425+160</f>
        <v>585</v>
      </c>
      <c r="H36" s="14">
        <v>60</v>
      </c>
      <c r="I36" s="14">
        <v>60</v>
      </c>
    </row>
    <row r="37" spans="1:9" ht="18" x14ac:dyDescent="0.25">
      <c r="A37" s="18">
        <f t="shared" si="0"/>
        <v>27</v>
      </c>
      <c r="B37" s="16" t="s">
        <v>811</v>
      </c>
      <c r="C37" s="17" t="s">
        <v>14</v>
      </c>
      <c r="D37" s="17" t="s">
        <v>28</v>
      </c>
      <c r="E37" s="27" t="s">
        <v>45</v>
      </c>
      <c r="F37" s="17"/>
      <c r="G37" s="14">
        <f>SUM(G40+G42+G38)</f>
        <v>1906.38</v>
      </c>
      <c r="H37" s="14">
        <f t="shared" ref="H37:I37" si="13">SUM(H40+H42+H38)</f>
        <v>0</v>
      </c>
      <c r="I37" s="14">
        <f t="shared" si="13"/>
        <v>0</v>
      </c>
    </row>
    <row r="38" spans="1:9" ht="144" x14ac:dyDescent="0.25">
      <c r="A38" s="18">
        <f t="shared" si="0"/>
        <v>28</v>
      </c>
      <c r="B38" s="16" t="s">
        <v>883</v>
      </c>
      <c r="C38" s="17" t="s">
        <v>14</v>
      </c>
      <c r="D38" s="17" t="s">
        <v>28</v>
      </c>
      <c r="E38" s="27" t="s">
        <v>882</v>
      </c>
      <c r="F38" s="17"/>
      <c r="G38" s="14">
        <f>SUM(G39)</f>
        <v>1160.21</v>
      </c>
      <c r="H38" s="14">
        <f t="shared" ref="H38:I38" si="14">SUM(H39)</f>
        <v>0</v>
      </c>
      <c r="I38" s="14">
        <f t="shared" si="14"/>
        <v>0</v>
      </c>
    </row>
    <row r="39" spans="1:9" ht="54" x14ac:dyDescent="0.25">
      <c r="A39" s="18">
        <f t="shared" si="0"/>
        <v>29</v>
      </c>
      <c r="B39" s="16" t="s">
        <v>25</v>
      </c>
      <c r="C39" s="17" t="s">
        <v>14</v>
      </c>
      <c r="D39" s="17" t="s">
        <v>28</v>
      </c>
      <c r="E39" s="27" t="s">
        <v>882</v>
      </c>
      <c r="F39" s="17">
        <v>120</v>
      </c>
      <c r="G39" s="14">
        <v>1160.21</v>
      </c>
      <c r="H39" s="14">
        <v>0</v>
      </c>
      <c r="I39" s="14">
        <v>0</v>
      </c>
    </row>
    <row r="40" spans="1:9" ht="36" x14ac:dyDescent="0.25">
      <c r="A40" s="18">
        <f t="shared" si="0"/>
        <v>30</v>
      </c>
      <c r="B40" s="16" t="s">
        <v>831</v>
      </c>
      <c r="C40" s="17" t="s">
        <v>14</v>
      </c>
      <c r="D40" s="17" t="s">
        <v>28</v>
      </c>
      <c r="E40" s="27" t="s">
        <v>810</v>
      </c>
      <c r="F40" s="17"/>
      <c r="G40" s="14">
        <f>SUM(G41)</f>
        <v>268.86</v>
      </c>
      <c r="H40" s="14">
        <f t="shared" ref="H40:I40" si="15">SUM(H41)</f>
        <v>0</v>
      </c>
      <c r="I40" s="14">
        <f t="shared" si="15"/>
        <v>0</v>
      </c>
    </row>
    <row r="41" spans="1:9" ht="54" x14ac:dyDescent="0.25">
      <c r="A41" s="18">
        <f t="shared" si="0"/>
        <v>31</v>
      </c>
      <c r="B41" s="16" t="s">
        <v>25</v>
      </c>
      <c r="C41" s="17" t="s">
        <v>14</v>
      </c>
      <c r="D41" s="17" t="s">
        <v>28</v>
      </c>
      <c r="E41" s="27" t="s">
        <v>810</v>
      </c>
      <c r="F41" s="17">
        <v>120</v>
      </c>
      <c r="G41" s="14">
        <f>336.07-67.21</f>
        <v>268.86</v>
      </c>
      <c r="H41" s="14">
        <v>0</v>
      </c>
      <c r="I41" s="14">
        <v>0</v>
      </c>
    </row>
    <row r="42" spans="1:9" ht="126" x14ac:dyDescent="0.25">
      <c r="A42" s="18">
        <f t="shared" si="0"/>
        <v>32</v>
      </c>
      <c r="B42" s="16" t="s">
        <v>856</v>
      </c>
      <c r="C42" s="17" t="s">
        <v>14</v>
      </c>
      <c r="D42" s="17" t="s">
        <v>28</v>
      </c>
      <c r="E42" s="17">
        <v>7000155490</v>
      </c>
      <c r="F42" s="17"/>
      <c r="G42" s="14">
        <f>SUM(G43)</f>
        <v>477.31</v>
      </c>
      <c r="H42" s="14">
        <f t="shared" ref="H42:I42" si="16">SUM(H43)</f>
        <v>0</v>
      </c>
      <c r="I42" s="14">
        <f t="shared" si="16"/>
        <v>0</v>
      </c>
    </row>
    <row r="43" spans="1:9" ht="54" x14ac:dyDescent="0.25">
      <c r="A43" s="18">
        <f t="shared" si="0"/>
        <v>33</v>
      </c>
      <c r="B43" s="16" t="s">
        <v>857</v>
      </c>
      <c r="C43" s="17" t="s">
        <v>14</v>
      </c>
      <c r="D43" s="17" t="s">
        <v>28</v>
      </c>
      <c r="E43" s="17">
        <v>7000155490</v>
      </c>
      <c r="F43" s="17">
        <v>120</v>
      </c>
      <c r="G43" s="14">
        <v>477.31</v>
      </c>
      <c r="H43" s="14">
        <v>0</v>
      </c>
      <c r="I43" s="14">
        <v>0</v>
      </c>
    </row>
    <row r="44" spans="1:9" ht="18" x14ac:dyDescent="0.25">
      <c r="A44" s="19">
        <f t="shared" si="0"/>
        <v>34</v>
      </c>
      <c r="B44" s="20" t="s">
        <v>39</v>
      </c>
      <c r="C44" s="21" t="s">
        <v>14</v>
      </c>
      <c r="D44" s="21" t="s">
        <v>40</v>
      </c>
      <c r="E44" s="21"/>
      <c r="F44" s="21"/>
      <c r="G44" s="13">
        <f>SUM(G45)</f>
        <v>36.4</v>
      </c>
      <c r="H44" s="13">
        <f t="shared" ref="H44:I44" si="17">SUM(H45)</f>
        <v>37.299999999999997</v>
      </c>
      <c r="I44" s="13">
        <f t="shared" si="17"/>
        <v>246.1</v>
      </c>
    </row>
    <row r="45" spans="1:9" ht="78" customHeight="1" x14ac:dyDescent="0.25">
      <c r="A45" s="18">
        <f t="shared" si="0"/>
        <v>35</v>
      </c>
      <c r="B45" s="16" t="s">
        <v>19</v>
      </c>
      <c r="C45" s="17" t="s">
        <v>14</v>
      </c>
      <c r="D45" s="17" t="s">
        <v>40</v>
      </c>
      <c r="E45" s="17" t="s">
        <v>20</v>
      </c>
      <c r="F45" s="17"/>
      <c r="G45" s="14">
        <f>SUM(G46)</f>
        <v>36.4</v>
      </c>
      <c r="H45" s="14">
        <f t="shared" ref="H45:I45" si="18">SUM(H46)</f>
        <v>37.299999999999997</v>
      </c>
      <c r="I45" s="14">
        <f t="shared" si="18"/>
        <v>246.1</v>
      </c>
    </row>
    <row r="46" spans="1:9" ht="93" customHeight="1" x14ac:dyDescent="0.25">
      <c r="A46" s="18">
        <f t="shared" si="0"/>
        <v>36</v>
      </c>
      <c r="B46" s="16" t="s">
        <v>21</v>
      </c>
      <c r="C46" s="17" t="s">
        <v>14</v>
      </c>
      <c r="D46" s="17" t="s">
        <v>40</v>
      </c>
      <c r="E46" s="17" t="s">
        <v>22</v>
      </c>
      <c r="F46" s="17"/>
      <c r="G46" s="14">
        <f>SUM(G47)</f>
        <v>36.4</v>
      </c>
      <c r="H46" s="14">
        <f t="shared" ref="H46:I46" si="19">SUM(H47)</f>
        <v>37.299999999999997</v>
      </c>
      <c r="I46" s="14">
        <f t="shared" si="19"/>
        <v>246.1</v>
      </c>
    </row>
    <row r="47" spans="1:9" ht="108" x14ac:dyDescent="0.25">
      <c r="A47" s="18">
        <f t="shared" si="0"/>
        <v>37</v>
      </c>
      <c r="B47" s="16" t="s">
        <v>41</v>
      </c>
      <c r="C47" s="17" t="s">
        <v>14</v>
      </c>
      <c r="D47" s="17" t="s">
        <v>40</v>
      </c>
      <c r="E47" s="17" t="s">
        <v>42</v>
      </c>
      <c r="F47" s="17"/>
      <c r="G47" s="14">
        <f>SUM(G48)</f>
        <v>36.4</v>
      </c>
      <c r="H47" s="14">
        <f t="shared" ref="H47:I47" si="20">SUM(H48)</f>
        <v>37.299999999999997</v>
      </c>
      <c r="I47" s="14">
        <f t="shared" si="20"/>
        <v>246.1</v>
      </c>
    </row>
    <row r="48" spans="1:9" ht="57" customHeight="1" x14ac:dyDescent="0.25">
      <c r="A48" s="18">
        <f t="shared" si="0"/>
        <v>38</v>
      </c>
      <c r="B48" s="16" t="s">
        <v>33</v>
      </c>
      <c r="C48" s="17" t="s">
        <v>14</v>
      </c>
      <c r="D48" s="17" t="s">
        <v>40</v>
      </c>
      <c r="E48" s="17" t="s">
        <v>42</v>
      </c>
      <c r="F48" s="17" t="s">
        <v>34</v>
      </c>
      <c r="G48" s="14">
        <v>36.4</v>
      </c>
      <c r="H48" s="14">
        <v>37.299999999999997</v>
      </c>
      <c r="I48" s="14">
        <v>246.1</v>
      </c>
    </row>
    <row r="49" spans="1:9" ht="18" x14ac:dyDescent="0.25">
      <c r="A49" s="19">
        <f t="shared" si="0"/>
        <v>39</v>
      </c>
      <c r="B49" s="20" t="s">
        <v>43</v>
      </c>
      <c r="C49" s="21" t="s">
        <v>14</v>
      </c>
      <c r="D49" s="21" t="s">
        <v>44</v>
      </c>
      <c r="E49" s="21"/>
      <c r="F49" s="21"/>
      <c r="G49" s="13">
        <f>SUM(G50)</f>
        <v>18050</v>
      </c>
      <c r="H49" s="13">
        <f t="shared" ref="H49:I49" si="21">SUM(H50)</f>
        <v>10000</v>
      </c>
      <c r="I49" s="13">
        <f t="shared" si="21"/>
        <v>10000</v>
      </c>
    </row>
    <row r="50" spans="1:9" ht="18" x14ac:dyDescent="0.25">
      <c r="A50" s="18">
        <f t="shared" si="0"/>
        <v>40</v>
      </c>
      <c r="B50" s="16" t="s">
        <v>811</v>
      </c>
      <c r="C50" s="17" t="s">
        <v>14</v>
      </c>
      <c r="D50" s="17" t="s">
        <v>44</v>
      </c>
      <c r="E50" s="17" t="s">
        <v>45</v>
      </c>
      <c r="F50" s="17"/>
      <c r="G50" s="14">
        <f>SUM(G51)</f>
        <v>18050</v>
      </c>
      <c r="H50" s="14">
        <f t="shared" ref="H50:I50" si="22">SUM(H51)</f>
        <v>10000</v>
      </c>
      <c r="I50" s="14">
        <f t="shared" si="22"/>
        <v>10000</v>
      </c>
    </row>
    <row r="51" spans="1:9" ht="39.75" customHeight="1" x14ac:dyDescent="0.25">
      <c r="A51" s="18">
        <f t="shared" si="0"/>
        <v>41</v>
      </c>
      <c r="B51" s="16" t="s">
        <v>46</v>
      </c>
      <c r="C51" s="17" t="s">
        <v>14</v>
      </c>
      <c r="D51" s="17" t="s">
        <v>44</v>
      </c>
      <c r="E51" s="17" t="s">
        <v>47</v>
      </c>
      <c r="F51" s="17"/>
      <c r="G51" s="14">
        <f>SUM(G52)</f>
        <v>18050</v>
      </c>
      <c r="H51" s="14">
        <f t="shared" ref="H51:I51" si="23">SUM(H52)</f>
        <v>10000</v>
      </c>
      <c r="I51" s="14">
        <f t="shared" si="23"/>
        <v>10000</v>
      </c>
    </row>
    <row r="52" spans="1:9" ht="18" x14ac:dyDescent="0.25">
      <c r="A52" s="18">
        <f t="shared" si="0"/>
        <v>42</v>
      </c>
      <c r="B52" s="16" t="s">
        <v>48</v>
      </c>
      <c r="C52" s="17" t="s">
        <v>14</v>
      </c>
      <c r="D52" s="17" t="s">
        <v>44</v>
      </c>
      <c r="E52" s="17" t="s">
        <v>47</v>
      </c>
      <c r="F52" s="17" t="s">
        <v>49</v>
      </c>
      <c r="G52" s="14">
        <f>15800+2250</f>
        <v>18050</v>
      </c>
      <c r="H52" s="14">
        <v>10000</v>
      </c>
      <c r="I52" s="14">
        <v>10000</v>
      </c>
    </row>
    <row r="53" spans="1:9" ht="36" x14ac:dyDescent="0.25">
      <c r="A53" s="19">
        <f t="shared" si="0"/>
        <v>43</v>
      </c>
      <c r="B53" s="20" t="s">
        <v>50</v>
      </c>
      <c r="C53" s="21" t="s">
        <v>14</v>
      </c>
      <c r="D53" s="21" t="s">
        <v>51</v>
      </c>
      <c r="E53" s="21"/>
      <c r="F53" s="21"/>
      <c r="G53" s="13">
        <f>SUM(G54+G67+G84+G88)</f>
        <v>64188.760000000009</v>
      </c>
      <c r="H53" s="13">
        <f t="shared" ref="H53:I53" si="24">SUM(H54+H67+H84+H88)</f>
        <v>7323.1</v>
      </c>
      <c r="I53" s="13">
        <f t="shared" si="24"/>
        <v>4190.1000000000004</v>
      </c>
    </row>
    <row r="54" spans="1:9" ht="78" customHeight="1" x14ac:dyDescent="0.25">
      <c r="A54" s="18">
        <f t="shared" si="0"/>
        <v>44</v>
      </c>
      <c r="B54" s="16" t="s">
        <v>19</v>
      </c>
      <c r="C54" s="17" t="s">
        <v>14</v>
      </c>
      <c r="D54" s="17" t="s">
        <v>51</v>
      </c>
      <c r="E54" s="17" t="s">
        <v>20</v>
      </c>
      <c r="F54" s="17"/>
      <c r="G54" s="14">
        <f>SUM(G56+G58)</f>
        <v>523.29999999999995</v>
      </c>
      <c r="H54" s="14">
        <f t="shared" ref="H54:I54" si="25">SUM(H56+H58)</f>
        <v>538.1</v>
      </c>
      <c r="I54" s="14">
        <f t="shared" si="25"/>
        <v>553.1</v>
      </c>
    </row>
    <row r="55" spans="1:9" ht="60" customHeight="1" x14ac:dyDescent="0.25">
      <c r="A55" s="18">
        <f t="shared" si="0"/>
        <v>45</v>
      </c>
      <c r="B55" s="16" t="s">
        <v>52</v>
      </c>
      <c r="C55" s="17" t="s">
        <v>14</v>
      </c>
      <c r="D55" s="17" t="s">
        <v>51</v>
      </c>
      <c r="E55" s="17" t="s">
        <v>53</v>
      </c>
      <c r="F55" s="17"/>
      <c r="G55" s="14">
        <f>SUM(G56)</f>
        <v>20</v>
      </c>
      <c r="H55" s="14">
        <f t="shared" ref="H55:I55" si="26">SUM(H56)</f>
        <v>20</v>
      </c>
      <c r="I55" s="14">
        <f t="shared" si="26"/>
        <v>20</v>
      </c>
    </row>
    <row r="56" spans="1:9" ht="126" x14ac:dyDescent="0.25">
      <c r="A56" s="18">
        <f t="shared" si="0"/>
        <v>46</v>
      </c>
      <c r="B56" s="16" t="s">
        <v>54</v>
      </c>
      <c r="C56" s="17" t="s">
        <v>14</v>
      </c>
      <c r="D56" s="17" t="s">
        <v>51</v>
      </c>
      <c r="E56" s="17" t="s">
        <v>55</v>
      </c>
      <c r="F56" s="17"/>
      <c r="G56" s="14">
        <f>SUM(G57)</f>
        <v>20</v>
      </c>
      <c r="H56" s="14">
        <f t="shared" ref="H56:I56" si="27">SUM(H57)</f>
        <v>20</v>
      </c>
      <c r="I56" s="14">
        <f t="shared" si="27"/>
        <v>20</v>
      </c>
    </row>
    <row r="57" spans="1:9" ht="56.25" customHeight="1" x14ac:dyDescent="0.25">
      <c r="A57" s="18">
        <f t="shared" si="0"/>
        <v>47</v>
      </c>
      <c r="B57" s="16" t="s">
        <v>33</v>
      </c>
      <c r="C57" s="17" t="s">
        <v>14</v>
      </c>
      <c r="D57" s="17" t="s">
        <v>51</v>
      </c>
      <c r="E57" s="17" t="s">
        <v>55</v>
      </c>
      <c r="F57" s="17" t="s">
        <v>34</v>
      </c>
      <c r="G57" s="14">
        <v>20</v>
      </c>
      <c r="H57" s="14">
        <v>20</v>
      </c>
      <c r="I57" s="14">
        <v>20</v>
      </c>
    </row>
    <row r="58" spans="1:9" ht="93.75" customHeight="1" x14ac:dyDescent="0.25">
      <c r="A58" s="18">
        <f t="shared" si="0"/>
        <v>48</v>
      </c>
      <c r="B58" s="16" t="s">
        <v>21</v>
      </c>
      <c r="C58" s="17" t="s">
        <v>14</v>
      </c>
      <c r="D58" s="17" t="s">
        <v>51</v>
      </c>
      <c r="E58" s="17" t="s">
        <v>22</v>
      </c>
      <c r="F58" s="17"/>
      <c r="G58" s="14">
        <f>SUM(G59+G61+G63+G65)</f>
        <v>503.3</v>
      </c>
      <c r="H58" s="14">
        <f t="shared" ref="H58:I58" si="28">SUM(H59+H61+H63+H65)</f>
        <v>518.1</v>
      </c>
      <c r="I58" s="14">
        <f t="shared" si="28"/>
        <v>533.1</v>
      </c>
    </row>
    <row r="59" spans="1:9" ht="144" x14ac:dyDescent="0.25">
      <c r="A59" s="18">
        <f t="shared" si="0"/>
        <v>49</v>
      </c>
      <c r="B59" s="16" t="s">
        <v>56</v>
      </c>
      <c r="C59" s="17" t="s">
        <v>14</v>
      </c>
      <c r="D59" s="17" t="s">
        <v>51</v>
      </c>
      <c r="E59" s="17" t="s">
        <v>57</v>
      </c>
      <c r="F59" s="17"/>
      <c r="G59" s="14">
        <f>SUM(G60)</f>
        <v>0.2</v>
      </c>
      <c r="H59" s="14">
        <f t="shared" ref="H59:I59" si="29">SUM(H60)</f>
        <v>0.2</v>
      </c>
      <c r="I59" s="14">
        <f t="shared" si="29"/>
        <v>0.2</v>
      </c>
    </row>
    <row r="60" spans="1:9" ht="57.75" customHeight="1" x14ac:dyDescent="0.25">
      <c r="A60" s="18">
        <f t="shared" si="0"/>
        <v>50</v>
      </c>
      <c r="B60" s="16" t="s">
        <v>33</v>
      </c>
      <c r="C60" s="17" t="s">
        <v>14</v>
      </c>
      <c r="D60" s="17" t="s">
        <v>51</v>
      </c>
      <c r="E60" s="17" t="s">
        <v>57</v>
      </c>
      <c r="F60" s="17" t="s">
        <v>34</v>
      </c>
      <c r="G60" s="14">
        <v>0.2</v>
      </c>
      <c r="H60" s="14">
        <v>0.2</v>
      </c>
      <c r="I60" s="14">
        <v>0.2</v>
      </c>
    </row>
    <row r="61" spans="1:9" ht="72" x14ac:dyDescent="0.25">
      <c r="A61" s="18">
        <f t="shared" si="0"/>
        <v>51</v>
      </c>
      <c r="B61" s="16" t="s">
        <v>58</v>
      </c>
      <c r="C61" s="17" t="s">
        <v>14</v>
      </c>
      <c r="D61" s="17" t="s">
        <v>51</v>
      </c>
      <c r="E61" s="17" t="s">
        <v>59</v>
      </c>
      <c r="F61" s="17"/>
      <c r="G61" s="14">
        <f>SUM(G62)</f>
        <v>120.9</v>
      </c>
      <c r="H61" s="14">
        <f t="shared" ref="H61:I61" si="30">SUM(H62)</f>
        <v>119.7</v>
      </c>
      <c r="I61" s="14">
        <f t="shared" si="30"/>
        <v>119.7</v>
      </c>
    </row>
    <row r="62" spans="1:9" ht="56.25" customHeight="1" x14ac:dyDescent="0.25">
      <c r="A62" s="18">
        <f t="shared" si="0"/>
        <v>52</v>
      </c>
      <c r="B62" s="16" t="s">
        <v>33</v>
      </c>
      <c r="C62" s="17" t="s">
        <v>14</v>
      </c>
      <c r="D62" s="17" t="s">
        <v>51</v>
      </c>
      <c r="E62" s="17" t="s">
        <v>59</v>
      </c>
      <c r="F62" s="17" t="s">
        <v>34</v>
      </c>
      <c r="G62" s="14">
        <v>120.9</v>
      </c>
      <c r="H62" s="14">
        <v>119.7</v>
      </c>
      <c r="I62" s="14">
        <v>119.7</v>
      </c>
    </row>
    <row r="63" spans="1:9" ht="216" x14ac:dyDescent="0.25">
      <c r="A63" s="18">
        <f t="shared" si="0"/>
        <v>53</v>
      </c>
      <c r="B63" s="16" t="s">
        <v>60</v>
      </c>
      <c r="C63" s="17" t="s">
        <v>14</v>
      </c>
      <c r="D63" s="17" t="s">
        <v>51</v>
      </c>
      <c r="E63" s="17" t="s">
        <v>61</v>
      </c>
      <c r="F63" s="17"/>
      <c r="G63" s="14">
        <f>SUM(G64)</f>
        <v>0.2</v>
      </c>
      <c r="H63" s="14">
        <f t="shared" ref="H63:I63" si="31">SUM(H64)</f>
        <v>0.2</v>
      </c>
      <c r="I63" s="14">
        <f t="shared" si="31"/>
        <v>0.2</v>
      </c>
    </row>
    <row r="64" spans="1:9" ht="57.75" customHeight="1" x14ac:dyDescent="0.25">
      <c r="A64" s="18">
        <f t="shared" si="0"/>
        <v>54</v>
      </c>
      <c r="B64" s="16" t="s">
        <v>33</v>
      </c>
      <c r="C64" s="17" t="s">
        <v>14</v>
      </c>
      <c r="D64" s="17" t="s">
        <v>51</v>
      </c>
      <c r="E64" s="17" t="s">
        <v>61</v>
      </c>
      <c r="F64" s="17" t="s">
        <v>34</v>
      </c>
      <c r="G64" s="14">
        <v>0.2</v>
      </c>
      <c r="H64" s="14">
        <v>0.2</v>
      </c>
      <c r="I64" s="14">
        <v>0.2</v>
      </c>
    </row>
    <row r="65" spans="1:9" ht="132" customHeight="1" x14ac:dyDescent="0.25">
      <c r="A65" s="18">
        <f t="shared" si="0"/>
        <v>55</v>
      </c>
      <c r="B65" s="16" t="s">
        <v>62</v>
      </c>
      <c r="C65" s="17" t="s">
        <v>14</v>
      </c>
      <c r="D65" s="17" t="s">
        <v>51</v>
      </c>
      <c r="E65" s="17" t="s">
        <v>63</v>
      </c>
      <c r="F65" s="17"/>
      <c r="G65" s="14">
        <f>SUM(G66)</f>
        <v>382</v>
      </c>
      <c r="H65" s="14">
        <f t="shared" ref="H65:I65" si="32">SUM(H66)</f>
        <v>398</v>
      </c>
      <c r="I65" s="14">
        <f t="shared" si="32"/>
        <v>413</v>
      </c>
    </row>
    <row r="66" spans="1:9" ht="53.25" customHeight="1" x14ac:dyDescent="0.25">
      <c r="A66" s="18">
        <f t="shared" si="0"/>
        <v>56</v>
      </c>
      <c r="B66" s="16" t="s">
        <v>33</v>
      </c>
      <c r="C66" s="17" t="s">
        <v>14</v>
      </c>
      <c r="D66" s="17" t="s">
        <v>51</v>
      </c>
      <c r="E66" s="17" t="s">
        <v>63</v>
      </c>
      <c r="F66" s="17" t="s">
        <v>34</v>
      </c>
      <c r="G66" s="14">
        <v>382</v>
      </c>
      <c r="H66" s="14">
        <v>398</v>
      </c>
      <c r="I66" s="14">
        <v>413</v>
      </c>
    </row>
    <row r="67" spans="1:9" ht="147" customHeight="1" x14ac:dyDescent="0.25">
      <c r="A67" s="18">
        <f t="shared" si="0"/>
        <v>57</v>
      </c>
      <c r="B67" s="16" t="s">
        <v>64</v>
      </c>
      <c r="C67" s="17" t="s">
        <v>14</v>
      </c>
      <c r="D67" s="17" t="s">
        <v>51</v>
      </c>
      <c r="E67" s="17" t="s">
        <v>65</v>
      </c>
      <c r="F67" s="17"/>
      <c r="G67" s="14">
        <f>SUM(G68)</f>
        <v>41425.440000000002</v>
      </c>
      <c r="H67" s="14">
        <f t="shared" ref="H67:I67" si="33">SUM(H68)</f>
        <v>3780</v>
      </c>
      <c r="I67" s="14">
        <f t="shared" si="33"/>
        <v>780</v>
      </c>
    </row>
    <row r="68" spans="1:9" ht="167.25" customHeight="1" x14ac:dyDescent="0.25">
      <c r="A68" s="18">
        <f t="shared" si="0"/>
        <v>58</v>
      </c>
      <c r="B68" s="16" t="s">
        <v>66</v>
      </c>
      <c r="C68" s="17" t="s">
        <v>14</v>
      </c>
      <c r="D68" s="17" t="s">
        <v>51</v>
      </c>
      <c r="E68" s="17" t="s">
        <v>67</v>
      </c>
      <c r="F68" s="17"/>
      <c r="G68" s="14">
        <f>SUM(G69+G72+G74+G76+G78+G80+G82)</f>
        <v>41425.440000000002</v>
      </c>
      <c r="H68" s="14">
        <f t="shared" ref="H68:I68" si="34">SUM(H69+H72+H74+H76+H78+H80+H82)</f>
        <v>3780</v>
      </c>
      <c r="I68" s="14">
        <f t="shared" si="34"/>
        <v>780</v>
      </c>
    </row>
    <row r="69" spans="1:9" ht="54" x14ac:dyDescent="0.25">
      <c r="A69" s="18">
        <f t="shared" si="0"/>
        <v>59</v>
      </c>
      <c r="B69" s="16" t="s">
        <v>68</v>
      </c>
      <c r="C69" s="17" t="s">
        <v>14</v>
      </c>
      <c r="D69" s="17" t="s">
        <v>51</v>
      </c>
      <c r="E69" s="17" t="s">
        <v>69</v>
      </c>
      <c r="F69" s="17"/>
      <c r="G69" s="14">
        <f>SUM(G70:G71)</f>
        <v>7928.5</v>
      </c>
      <c r="H69" s="14">
        <f t="shared" ref="H69:I69" si="35">SUM(H70:H71)</f>
        <v>3000</v>
      </c>
      <c r="I69" s="14">
        <f t="shared" si="35"/>
        <v>0</v>
      </c>
    </row>
    <row r="70" spans="1:9" ht="72" x14ac:dyDescent="0.25">
      <c r="A70" s="18"/>
      <c r="B70" s="16" t="s">
        <v>33</v>
      </c>
      <c r="C70" s="17" t="s">
        <v>14</v>
      </c>
      <c r="D70" s="17" t="s">
        <v>51</v>
      </c>
      <c r="E70" s="17" t="s">
        <v>69</v>
      </c>
      <c r="F70" s="17">
        <v>240</v>
      </c>
      <c r="G70" s="14">
        <v>1380</v>
      </c>
      <c r="H70" s="14">
        <v>0</v>
      </c>
      <c r="I70" s="14">
        <v>0</v>
      </c>
    </row>
    <row r="71" spans="1:9" ht="36" x14ac:dyDescent="0.25">
      <c r="A71" s="18">
        <f>SUM(A69+1)</f>
        <v>60</v>
      </c>
      <c r="B71" s="16" t="s">
        <v>37</v>
      </c>
      <c r="C71" s="17" t="s">
        <v>14</v>
      </c>
      <c r="D71" s="17" t="s">
        <v>51</v>
      </c>
      <c r="E71" s="17" t="s">
        <v>69</v>
      </c>
      <c r="F71" s="17" t="s">
        <v>38</v>
      </c>
      <c r="G71" s="14">
        <f>3042-2342+5848.5</f>
        <v>6548.5</v>
      </c>
      <c r="H71" s="14">
        <v>3000</v>
      </c>
      <c r="I71" s="14">
        <v>0</v>
      </c>
    </row>
    <row r="72" spans="1:9" ht="126" x14ac:dyDescent="0.25">
      <c r="A72" s="18">
        <f t="shared" si="0"/>
        <v>61</v>
      </c>
      <c r="B72" s="16" t="s">
        <v>70</v>
      </c>
      <c r="C72" s="17" t="s">
        <v>14</v>
      </c>
      <c r="D72" s="17" t="s">
        <v>51</v>
      </c>
      <c r="E72" s="17" t="s">
        <v>71</v>
      </c>
      <c r="F72" s="17"/>
      <c r="G72" s="14">
        <f>SUM(G73)</f>
        <v>24268</v>
      </c>
      <c r="H72" s="14">
        <f t="shared" ref="H72:I72" si="36">SUM(H73)</f>
        <v>100</v>
      </c>
      <c r="I72" s="14">
        <f t="shared" si="36"/>
        <v>100</v>
      </c>
    </row>
    <row r="73" spans="1:9" ht="60" customHeight="1" x14ac:dyDescent="0.25">
      <c r="A73" s="18">
        <f t="shared" si="0"/>
        <v>62</v>
      </c>
      <c r="B73" s="16" t="s">
        <v>33</v>
      </c>
      <c r="C73" s="17" t="s">
        <v>14</v>
      </c>
      <c r="D73" s="17" t="s">
        <v>51</v>
      </c>
      <c r="E73" s="17" t="s">
        <v>71</v>
      </c>
      <c r="F73" s="17" t="s">
        <v>34</v>
      </c>
      <c r="G73" s="14">
        <f>24268</f>
        <v>24268</v>
      </c>
      <c r="H73" s="14">
        <v>100</v>
      </c>
      <c r="I73" s="14">
        <v>100</v>
      </c>
    </row>
    <row r="74" spans="1:9" ht="71.25" customHeight="1" x14ac:dyDescent="0.25">
      <c r="A74" s="18">
        <f t="shared" si="0"/>
        <v>63</v>
      </c>
      <c r="B74" s="16" t="s">
        <v>72</v>
      </c>
      <c r="C74" s="17" t="s">
        <v>14</v>
      </c>
      <c r="D74" s="17" t="s">
        <v>51</v>
      </c>
      <c r="E74" s="17" t="s">
        <v>73</v>
      </c>
      <c r="F74" s="17"/>
      <c r="G74" s="14">
        <f>SUM(G75)</f>
        <v>1368.94</v>
      </c>
      <c r="H74" s="14">
        <f t="shared" ref="H74:I74" si="37">SUM(H75)</f>
        <v>570</v>
      </c>
      <c r="I74" s="14">
        <f t="shared" si="37"/>
        <v>570</v>
      </c>
    </row>
    <row r="75" spans="1:9" ht="58.5" customHeight="1" x14ac:dyDescent="0.25">
      <c r="A75" s="18">
        <f t="shared" si="0"/>
        <v>64</v>
      </c>
      <c r="B75" s="16" t="s">
        <v>33</v>
      </c>
      <c r="C75" s="17" t="s">
        <v>14</v>
      </c>
      <c r="D75" s="17" t="s">
        <v>51</v>
      </c>
      <c r="E75" s="17" t="s">
        <v>73</v>
      </c>
      <c r="F75" s="17" t="s">
        <v>34</v>
      </c>
      <c r="G75" s="14">
        <v>1368.94</v>
      </c>
      <c r="H75" s="14">
        <v>570</v>
      </c>
      <c r="I75" s="14">
        <v>570</v>
      </c>
    </row>
    <row r="76" spans="1:9" ht="90" x14ac:dyDescent="0.25">
      <c r="A76" s="18">
        <f t="shared" si="0"/>
        <v>65</v>
      </c>
      <c r="B76" s="16" t="s">
        <v>74</v>
      </c>
      <c r="C76" s="17" t="s">
        <v>14</v>
      </c>
      <c r="D76" s="17" t="s">
        <v>51</v>
      </c>
      <c r="E76" s="17" t="s">
        <v>75</v>
      </c>
      <c r="F76" s="17"/>
      <c r="G76" s="14">
        <f>SUM(G77)</f>
        <v>1360</v>
      </c>
      <c r="H76" s="14">
        <f t="shared" ref="H76:I76" si="38">SUM(H77)</f>
        <v>0</v>
      </c>
      <c r="I76" s="14">
        <f t="shared" si="38"/>
        <v>0</v>
      </c>
    </row>
    <row r="77" spans="1:9" ht="60" customHeight="1" x14ac:dyDescent="0.25">
      <c r="A77" s="18">
        <f t="shared" si="0"/>
        <v>66</v>
      </c>
      <c r="B77" s="16" t="s">
        <v>33</v>
      </c>
      <c r="C77" s="17" t="s">
        <v>14</v>
      </c>
      <c r="D77" s="17" t="s">
        <v>51</v>
      </c>
      <c r="E77" s="17" t="s">
        <v>75</v>
      </c>
      <c r="F77" s="17" t="s">
        <v>34</v>
      </c>
      <c r="G77" s="14">
        <v>1360</v>
      </c>
      <c r="H77" s="14">
        <v>0</v>
      </c>
      <c r="I77" s="14">
        <v>0</v>
      </c>
    </row>
    <row r="78" spans="1:9" ht="75" customHeight="1" x14ac:dyDescent="0.25">
      <c r="A78" s="18">
        <f t="shared" si="0"/>
        <v>67</v>
      </c>
      <c r="B78" s="16" t="s">
        <v>76</v>
      </c>
      <c r="C78" s="17" t="s">
        <v>14</v>
      </c>
      <c r="D78" s="17" t="s">
        <v>51</v>
      </c>
      <c r="E78" s="17" t="s">
        <v>77</v>
      </c>
      <c r="F78" s="17"/>
      <c r="G78" s="14">
        <f>SUM(G79)</f>
        <v>0</v>
      </c>
      <c r="H78" s="14">
        <f t="shared" ref="H78:I78" si="39">SUM(H79)</f>
        <v>100</v>
      </c>
      <c r="I78" s="14">
        <f t="shared" si="39"/>
        <v>100</v>
      </c>
    </row>
    <row r="79" spans="1:9" ht="62.25" customHeight="1" x14ac:dyDescent="0.25">
      <c r="A79" s="18">
        <f t="shared" si="0"/>
        <v>68</v>
      </c>
      <c r="B79" s="16" t="s">
        <v>33</v>
      </c>
      <c r="C79" s="17" t="s">
        <v>14</v>
      </c>
      <c r="D79" s="17" t="s">
        <v>51</v>
      </c>
      <c r="E79" s="17" t="s">
        <v>77</v>
      </c>
      <c r="F79" s="17" t="s">
        <v>34</v>
      </c>
      <c r="G79" s="14">
        <f>100-100</f>
        <v>0</v>
      </c>
      <c r="H79" s="14">
        <v>100</v>
      </c>
      <c r="I79" s="14">
        <v>100</v>
      </c>
    </row>
    <row r="80" spans="1:9" ht="108" x14ac:dyDescent="0.25">
      <c r="A80" s="18">
        <f t="shared" si="0"/>
        <v>69</v>
      </c>
      <c r="B80" s="16" t="s">
        <v>78</v>
      </c>
      <c r="C80" s="17" t="s">
        <v>14</v>
      </c>
      <c r="D80" s="17" t="s">
        <v>51</v>
      </c>
      <c r="E80" s="17" t="s">
        <v>79</v>
      </c>
      <c r="F80" s="17"/>
      <c r="G80" s="14">
        <f>SUM(G81)</f>
        <v>0</v>
      </c>
      <c r="H80" s="14">
        <f t="shared" ref="H80:I80" si="40">SUM(H81)</f>
        <v>10</v>
      </c>
      <c r="I80" s="14">
        <f t="shared" si="40"/>
        <v>10</v>
      </c>
    </row>
    <row r="81" spans="1:9" ht="57" customHeight="1" x14ac:dyDescent="0.25">
      <c r="A81" s="18">
        <f t="shared" si="0"/>
        <v>70</v>
      </c>
      <c r="B81" s="16" t="s">
        <v>33</v>
      </c>
      <c r="C81" s="17" t="s">
        <v>14</v>
      </c>
      <c r="D81" s="17" t="s">
        <v>51</v>
      </c>
      <c r="E81" s="17" t="s">
        <v>79</v>
      </c>
      <c r="F81" s="17" t="s">
        <v>34</v>
      </c>
      <c r="G81" s="14">
        <f>10-10</f>
        <v>0</v>
      </c>
      <c r="H81" s="14">
        <v>10</v>
      </c>
      <c r="I81" s="14">
        <v>10</v>
      </c>
    </row>
    <row r="82" spans="1:9" ht="50.25" customHeight="1" x14ac:dyDescent="0.25">
      <c r="A82" s="18">
        <f t="shared" si="0"/>
        <v>71</v>
      </c>
      <c r="B82" s="16" t="s">
        <v>885</v>
      </c>
      <c r="C82" s="17" t="s">
        <v>14</v>
      </c>
      <c r="D82" s="17" t="s">
        <v>51</v>
      </c>
      <c r="E82" s="27" t="s">
        <v>884</v>
      </c>
      <c r="F82" s="17"/>
      <c r="G82" s="14">
        <f>SUM(G83)</f>
        <v>6500</v>
      </c>
      <c r="H82" s="14">
        <f t="shared" ref="H82:I82" si="41">SUM(H83)</f>
        <v>0</v>
      </c>
      <c r="I82" s="14">
        <f t="shared" si="41"/>
        <v>0</v>
      </c>
    </row>
    <row r="83" spans="1:9" ht="57" customHeight="1" x14ac:dyDescent="0.25">
      <c r="A83" s="18">
        <f t="shared" si="0"/>
        <v>72</v>
      </c>
      <c r="B83" s="16" t="s">
        <v>33</v>
      </c>
      <c r="C83" s="17" t="s">
        <v>14</v>
      </c>
      <c r="D83" s="17" t="s">
        <v>51</v>
      </c>
      <c r="E83" s="27" t="s">
        <v>884</v>
      </c>
      <c r="F83" s="17">
        <v>240</v>
      </c>
      <c r="G83" s="14">
        <v>6500</v>
      </c>
      <c r="H83" s="14">
        <v>0</v>
      </c>
      <c r="I83" s="14">
        <v>0</v>
      </c>
    </row>
    <row r="84" spans="1:9" ht="72" x14ac:dyDescent="0.25">
      <c r="A84" s="18">
        <f t="shared" si="0"/>
        <v>73</v>
      </c>
      <c r="B84" s="16" t="s">
        <v>80</v>
      </c>
      <c r="C84" s="17" t="s">
        <v>14</v>
      </c>
      <c r="D84" s="17" t="s">
        <v>51</v>
      </c>
      <c r="E84" s="17" t="s">
        <v>81</v>
      </c>
      <c r="F84" s="17"/>
      <c r="G84" s="14">
        <f>SUM(G85)</f>
        <v>5</v>
      </c>
      <c r="H84" s="14">
        <f t="shared" ref="H84:I84" si="42">SUM(H85)</f>
        <v>5</v>
      </c>
      <c r="I84" s="14">
        <f t="shared" si="42"/>
        <v>5</v>
      </c>
    </row>
    <row r="85" spans="1:9" ht="54" x14ac:dyDescent="0.25">
      <c r="A85" s="18">
        <f t="shared" si="0"/>
        <v>74</v>
      </c>
      <c r="B85" s="16" t="s">
        <v>82</v>
      </c>
      <c r="C85" s="17" t="s">
        <v>14</v>
      </c>
      <c r="D85" s="17" t="s">
        <v>51</v>
      </c>
      <c r="E85" s="17" t="s">
        <v>83</v>
      </c>
      <c r="F85" s="17"/>
      <c r="G85" s="14">
        <f>SUM(G86)</f>
        <v>5</v>
      </c>
      <c r="H85" s="14">
        <f t="shared" ref="H85:I85" si="43">SUM(H86)</f>
        <v>5</v>
      </c>
      <c r="I85" s="14">
        <f t="shared" si="43"/>
        <v>5</v>
      </c>
    </row>
    <row r="86" spans="1:9" ht="126" x14ac:dyDescent="0.25">
      <c r="A86" s="18">
        <f t="shared" si="0"/>
        <v>75</v>
      </c>
      <c r="B86" s="16" t="s">
        <v>84</v>
      </c>
      <c r="C86" s="17" t="s">
        <v>14</v>
      </c>
      <c r="D86" s="17" t="s">
        <v>51</v>
      </c>
      <c r="E86" s="17" t="s">
        <v>85</v>
      </c>
      <c r="F86" s="17"/>
      <c r="G86" s="14">
        <f>SUM(G87)</f>
        <v>5</v>
      </c>
      <c r="H86" s="14">
        <v>5</v>
      </c>
      <c r="I86" s="14">
        <v>5</v>
      </c>
    </row>
    <row r="87" spans="1:9" ht="55.5" customHeight="1" x14ac:dyDescent="0.25">
      <c r="A87" s="18">
        <f t="shared" si="0"/>
        <v>76</v>
      </c>
      <c r="B87" s="16" t="s">
        <v>33</v>
      </c>
      <c r="C87" s="17" t="s">
        <v>14</v>
      </c>
      <c r="D87" s="17" t="s">
        <v>51</v>
      </c>
      <c r="E87" s="17" t="s">
        <v>85</v>
      </c>
      <c r="F87" s="17" t="s">
        <v>34</v>
      </c>
      <c r="G87" s="14">
        <v>5</v>
      </c>
      <c r="H87" s="14">
        <v>5</v>
      </c>
      <c r="I87" s="14">
        <v>5</v>
      </c>
    </row>
    <row r="88" spans="1:9" ht="18" x14ac:dyDescent="0.25">
      <c r="A88" s="18">
        <f t="shared" si="0"/>
        <v>77</v>
      </c>
      <c r="B88" s="16" t="s">
        <v>811</v>
      </c>
      <c r="C88" s="17" t="s">
        <v>14</v>
      </c>
      <c r="D88" s="17" t="s">
        <v>51</v>
      </c>
      <c r="E88" s="17" t="s">
        <v>45</v>
      </c>
      <c r="F88" s="17"/>
      <c r="G88" s="14">
        <f>SUM(G89+G91)</f>
        <v>22235.02</v>
      </c>
      <c r="H88" s="14">
        <f t="shared" ref="H88:I88" si="44">SUM(H89+H91)</f>
        <v>3000</v>
      </c>
      <c r="I88" s="14">
        <f t="shared" si="44"/>
        <v>2852</v>
      </c>
    </row>
    <row r="89" spans="1:9" ht="162" x14ac:dyDescent="0.25">
      <c r="A89" s="18">
        <f t="shared" si="0"/>
        <v>78</v>
      </c>
      <c r="B89" s="16" t="s">
        <v>86</v>
      </c>
      <c r="C89" s="17" t="s">
        <v>14</v>
      </c>
      <c r="D89" s="17" t="s">
        <v>51</v>
      </c>
      <c r="E89" s="17" t="s">
        <v>87</v>
      </c>
      <c r="F89" s="17"/>
      <c r="G89" s="14">
        <f>SUM(G90)</f>
        <v>2982.02</v>
      </c>
      <c r="H89" s="14">
        <f t="shared" ref="H89:I89" si="45">SUM(H90)</f>
        <v>3000</v>
      </c>
      <c r="I89" s="14">
        <f t="shared" si="45"/>
        <v>2852</v>
      </c>
    </row>
    <row r="90" spans="1:9" ht="18" x14ac:dyDescent="0.25">
      <c r="A90" s="18">
        <f t="shared" si="0"/>
        <v>79</v>
      </c>
      <c r="B90" s="16" t="s">
        <v>88</v>
      </c>
      <c r="C90" s="17" t="s">
        <v>14</v>
      </c>
      <c r="D90" s="17" t="s">
        <v>51</v>
      </c>
      <c r="E90" s="17" t="s">
        <v>87</v>
      </c>
      <c r="F90" s="17" t="s">
        <v>89</v>
      </c>
      <c r="G90" s="14">
        <v>2982.02</v>
      </c>
      <c r="H90" s="14">
        <v>3000</v>
      </c>
      <c r="I90" s="14">
        <v>2852</v>
      </c>
    </row>
    <row r="91" spans="1:9" ht="126" x14ac:dyDescent="0.25">
      <c r="A91" s="18">
        <f t="shared" si="0"/>
        <v>80</v>
      </c>
      <c r="B91" s="16" t="s">
        <v>847</v>
      </c>
      <c r="C91" s="17" t="s">
        <v>14</v>
      </c>
      <c r="D91" s="17" t="s">
        <v>51</v>
      </c>
      <c r="E91" s="27" t="s">
        <v>846</v>
      </c>
      <c r="F91" s="17"/>
      <c r="G91" s="14">
        <f>SUM(G92)</f>
        <v>19253</v>
      </c>
      <c r="H91" s="14">
        <f t="shared" ref="H91:I91" si="46">SUM(H92)</f>
        <v>0</v>
      </c>
      <c r="I91" s="14">
        <f t="shared" si="46"/>
        <v>0</v>
      </c>
    </row>
    <row r="92" spans="1:9" ht="108" x14ac:dyDescent="0.25">
      <c r="A92" s="18">
        <f t="shared" si="0"/>
        <v>81</v>
      </c>
      <c r="B92" s="16" t="s">
        <v>265</v>
      </c>
      <c r="C92" s="17" t="s">
        <v>14</v>
      </c>
      <c r="D92" s="17" t="s">
        <v>51</v>
      </c>
      <c r="E92" s="27" t="s">
        <v>846</v>
      </c>
      <c r="F92" s="17">
        <v>810</v>
      </c>
      <c r="G92" s="14">
        <v>19253</v>
      </c>
      <c r="H92" s="14">
        <v>0</v>
      </c>
      <c r="I92" s="14">
        <v>0</v>
      </c>
    </row>
    <row r="93" spans="1:9" ht="72" x14ac:dyDescent="0.25">
      <c r="A93" s="19">
        <f t="shared" si="0"/>
        <v>82</v>
      </c>
      <c r="B93" s="20" t="s">
        <v>90</v>
      </c>
      <c r="C93" s="21" t="s">
        <v>14</v>
      </c>
      <c r="D93" s="21" t="s">
        <v>91</v>
      </c>
      <c r="E93" s="21"/>
      <c r="F93" s="21"/>
      <c r="G93" s="13">
        <f>SUM(G94+G103+G136)</f>
        <v>51241.179999999993</v>
      </c>
      <c r="H93" s="13">
        <f>SUM(H94+H103+H136)</f>
        <v>42822.759999999995</v>
      </c>
      <c r="I93" s="13">
        <f>SUM(I94+I103+I136)</f>
        <v>43209.479999999996</v>
      </c>
    </row>
    <row r="94" spans="1:9" ht="18" x14ac:dyDescent="0.25">
      <c r="A94" s="19">
        <f t="shared" si="0"/>
        <v>83</v>
      </c>
      <c r="B94" s="20" t="s">
        <v>92</v>
      </c>
      <c r="C94" s="21" t="s">
        <v>14</v>
      </c>
      <c r="D94" s="21" t="s">
        <v>93</v>
      </c>
      <c r="E94" s="21"/>
      <c r="F94" s="21"/>
      <c r="G94" s="13">
        <f>SUM(G95)</f>
        <v>550</v>
      </c>
      <c r="H94" s="13">
        <f t="shared" ref="H94:I94" si="47">SUM(H95)</f>
        <v>100</v>
      </c>
      <c r="I94" s="13">
        <f t="shared" si="47"/>
        <v>100</v>
      </c>
    </row>
    <row r="95" spans="1:9" ht="72" x14ac:dyDescent="0.25">
      <c r="A95" s="18">
        <f t="shared" si="0"/>
        <v>84</v>
      </c>
      <c r="B95" s="16" t="s">
        <v>94</v>
      </c>
      <c r="C95" s="17" t="s">
        <v>14</v>
      </c>
      <c r="D95" s="17" t="s">
        <v>93</v>
      </c>
      <c r="E95" s="17" t="s">
        <v>95</v>
      </c>
      <c r="F95" s="17"/>
      <c r="G95" s="14">
        <f>SUM(G96)</f>
        <v>550</v>
      </c>
      <c r="H95" s="14">
        <f t="shared" ref="H95:I95" si="48">SUM(H96)</f>
        <v>100</v>
      </c>
      <c r="I95" s="14">
        <f t="shared" si="48"/>
        <v>100</v>
      </c>
    </row>
    <row r="96" spans="1:9" ht="57.75" customHeight="1" x14ac:dyDescent="0.25">
      <c r="A96" s="18">
        <f t="shared" si="0"/>
        <v>85</v>
      </c>
      <c r="B96" s="16" t="s">
        <v>96</v>
      </c>
      <c r="C96" s="17" t="s">
        <v>14</v>
      </c>
      <c r="D96" s="17" t="s">
        <v>93</v>
      </c>
      <c r="E96" s="17" t="s">
        <v>97</v>
      </c>
      <c r="F96" s="17"/>
      <c r="G96" s="14">
        <f>SUM(G97+G101+G99)</f>
        <v>550</v>
      </c>
      <c r="H96" s="14">
        <f t="shared" ref="H96:I96" si="49">SUM(H97+H101+H99)</f>
        <v>100</v>
      </c>
      <c r="I96" s="14">
        <f t="shared" si="49"/>
        <v>100</v>
      </c>
    </row>
    <row r="97" spans="1:9" ht="72" x14ac:dyDescent="0.25">
      <c r="A97" s="18">
        <f t="shared" ref="A97:A169" si="50">SUM(A96+1)</f>
        <v>86</v>
      </c>
      <c r="B97" s="16" t="s">
        <v>98</v>
      </c>
      <c r="C97" s="17" t="s">
        <v>14</v>
      </c>
      <c r="D97" s="17" t="s">
        <v>93</v>
      </c>
      <c r="E97" s="17" t="s">
        <v>99</v>
      </c>
      <c r="F97" s="17"/>
      <c r="G97" s="14">
        <f>SUM(G98)</f>
        <v>40.200000000000003</v>
      </c>
      <c r="H97" s="14">
        <f t="shared" ref="H97:I97" si="51">SUM(H98)</f>
        <v>100</v>
      </c>
      <c r="I97" s="14">
        <f t="shared" si="51"/>
        <v>100</v>
      </c>
    </row>
    <row r="98" spans="1:9" ht="54" customHeight="1" x14ac:dyDescent="0.25">
      <c r="A98" s="18">
        <f t="shared" si="50"/>
        <v>87</v>
      </c>
      <c r="B98" s="16" t="s">
        <v>33</v>
      </c>
      <c r="C98" s="17" t="s">
        <v>14</v>
      </c>
      <c r="D98" s="17" t="s">
        <v>93</v>
      </c>
      <c r="E98" s="17" t="s">
        <v>99</v>
      </c>
      <c r="F98" s="17" t="s">
        <v>34</v>
      </c>
      <c r="G98" s="14">
        <f>50-9.8</f>
        <v>40.200000000000003</v>
      </c>
      <c r="H98" s="14">
        <v>100</v>
      </c>
      <c r="I98" s="14">
        <v>100</v>
      </c>
    </row>
    <row r="99" spans="1:9" ht="54" customHeight="1" x14ac:dyDescent="0.25">
      <c r="A99" s="18">
        <f t="shared" si="50"/>
        <v>88</v>
      </c>
      <c r="B99" s="16" t="s">
        <v>833</v>
      </c>
      <c r="C99" s="17" t="s">
        <v>14</v>
      </c>
      <c r="D99" s="17" t="s">
        <v>93</v>
      </c>
      <c r="E99" s="27" t="s">
        <v>832</v>
      </c>
      <c r="F99" s="17"/>
      <c r="G99" s="14">
        <f>SUM(G100)</f>
        <v>9.8000000000000007</v>
      </c>
      <c r="H99" s="14">
        <f t="shared" ref="H99:I99" si="52">SUM(H100)</f>
        <v>0</v>
      </c>
      <c r="I99" s="14">
        <f t="shared" si="52"/>
        <v>0</v>
      </c>
    </row>
    <row r="100" spans="1:9" ht="54" customHeight="1" x14ac:dyDescent="0.25">
      <c r="A100" s="18">
        <f t="shared" si="50"/>
        <v>89</v>
      </c>
      <c r="B100" s="16" t="s">
        <v>33</v>
      </c>
      <c r="C100" s="17" t="s">
        <v>14</v>
      </c>
      <c r="D100" s="17" t="s">
        <v>93</v>
      </c>
      <c r="E100" s="27" t="s">
        <v>832</v>
      </c>
      <c r="F100" s="17">
        <v>240</v>
      </c>
      <c r="G100" s="14">
        <v>9.8000000000000007</v>
      </c>
      <c r="H100" s="14">
        <v>0</v>
      </c>
      <c r="I100" s="14">
        <v>0</v>
      </c>
    </row>
    <row r="101" spans="1:9" ht="72" x14ac:dyDescent="0.25">
      <c r="A101" s="18">
        <f t="shared" si="50"/>
        <v>90</v>
      </c>
      <c r="B101" s="16" t="s">
        <v>100</v>
      </c>
      <c r="C101" s="17" t="s">
        <v>14</v>
      </c>
      <c r="D101" s="17" t="s">
        <v>93</v>
      </c>
      <c r="E101" s="17" t="s">
        <v>101</v>
      </c>
      <c r="F101" s="17"/>
      <c r="G101" s="14">
        <f>SUM(G102)</f>
        <v>500</v>
      </c>
      <c r="H101" s="14">
        <f t="shared" ref="H101:I101" si="53">SUM(H102)</f>
        <v>0</v>
      </c>
      <c r="I101" s="14">
        <f t="shared" si="53"/>
        <v>0</v>
      </c>
    </row>
    <row r="102" spans="1:9" ht="57.75" customHeight="1" x14ac:dyDescent="0.25">
      <c r="A102" s="18">
        <f t="shared" si="50"/>
        <v>91</v>
      </c>
      <c r="B102" s="16" t="s">
        <v>33</v>
      </c>
      <c r="C102" s="17" t="s">
        <v>14</v>
      </c>
      <c r="D102" s="17" t="s">
        <v>93</v>
      </c>
      <c r="E102" s="17" t="s">
        <v>101</v>
      </c>
      <c r="F102" s="17" t="s">
        <v>34</v>
      </c>
      <c r="G102" s="14">
        <v>500</v>
      </c>
      <c r="H102" s="14">
        <v>0</v>
      </c>
      <c r="I102" s="14">
        <v>0</v>
      </c>
    </row>
    <row r="103" spans="1:9" ht="74.25" customHeight="1" x14ac:dyDescent="0.25">
      <c r="A103" s="19">
        <f t="shared" si="50"/>
        <v>92</v>
      </c>
      <c r="B103" s="20" t="s">
        <v>102</v>
      </c>
      <c r="C103" s="21" t="s">
        <v>14</v>
      </c>
      <c r="D103" s="21" t="s">
        <v>103</v>
      </c>
      <c r="E103" s="21"/>
      <c r="F103" s="21"/>
      <c r="G103" s="13">
        <f>SUM(G104+G131)</f>
        <v>41799.279999999992</v>
      </c>
      <c r="H103" s="13">
        <f t="shared" ref="H103:I103" si="54">SUM(H104+H131)</f>
        <v>40906.259999999995</v>
      </c>
      <c r="I103" s="13">
        <f t="shared" si="54"/>
        <v>41292.979999999996</v>
      </c>
    </row>
    <row r="104" spans="1:9" ht="72" x14ac:dyDescent="0.25">
      <c r="A104" s="18">
        <f t="shared" si="50"/>
        <v>93</v>
      </c>
      <c r="B104" s="16" t="s">
        <v>94</v>
      </c>
      <c r="C104" s="17" t="s">
        <v>14</v>
      </c>
      <c r="D104" s="17" t="s">
        <v>103</v>
      </c>
      <c r="E104" s="17" t="s">
        <v>95</v>
      </c>
      <c r="F104" s="17"/>
      <c r="G104" s="14">
        <f>SUM(G105+G114+G128)</f>
        <v>40352.259999999995</v>
      </c>
      <c r="H104" s="14">
        <f>SUM(H105+H114+H128)</f>
        <v>40906.259999999995</v>
      </c>
      <c r="I104" s="14">
        <f>SUM(I105+I114+I128)</f>
        <v>41292.979999999996</v>
      </c>
    </row>
    <row r="105" spans="1:9" ht="57.75" customHeight="1" x14ac:dyDescent="0.25">
      <c r="A105" s="18">
        <f t="shared" si="50"/>
        <v>94</v>
      </c>
      <c r="B105" s="16" t="s">
        <v>96</v>
      </c>
      <c r="C105" s="17" t="s">
        <v>14</v>
      </c>
      <c r="D105" s="17" t="s">
        <v>103</v>
      </c>
      <c r="E105" s="17" t="s">
        <v>97</v>
      </c>
      <c r="F105" s="17"/>
      <c r="G105" s="14">
        <f>SUM(G106+G110+G112)</f>
        <v>9270.66</v>
      </c>
      <c r="H105" s="14">
        <f t="shared" ref="H105:I105" si="55">SUM(H106+H110+H112)</f>
        <v>9734.66</v>
      </c>
      <c r="I105" s="14">
        <f t="shared" si="55"/>
        <v>10121.379999999999</v>
      </c>
    </row>
    <row r="106" spans="1:9" ht="72" x14ac:dyDescent="0.25">
      <c r="A106" s="18">
        <f t="shared" si="50"/>
        <v>95</v>
      </c>
      <c r="B106" s="16" t="s">
        <v>104</v>
      </c>
      <c r="C106" s="17" t="s">
        <v>14</v>
      </c>
      <c r="D106" s="17" t="s">
        <v>103</v>
      </c>
      <c r="E106" s="17" t="s">
        <v>105</v>
      </c>
      <c r="F106" s="17"/>
      <c r="G106" s="14">
        <f>SUM(G107:G109)</f>
        <v>8580.66</v>
      </c>
      <c r="H106" s="14">
        <f t="shared" ref="H106:I106" si="56">SUM(H107:H109)</f>
        <v>8984.66</v>
      </c>
      <c r="I106" s="14">
        <f t="shared" si="56"/>
        <v>9371.3799999999992</v>
      </c>
    </row>
    <row r="107" spans="1:9" ht="36" x14ac:dyDescent="0.25">
      <c r="A107" s="18">
        <f t="shared" si="50"/>
        <v>96</v>
      </c>
      <c r="B107" s="16" t="s">
        <v>106</v>
      </c>
      <c r="C107" s="17" t="s">
        <v>14</v>
      </c>
      <c r="D107" s="17" t="s">
        <v>103</v>
      </c>
      <c r="E107" s="17" t="s">
        <v>105</v>
      </c>
      <c r="F107" s="17" t="s">
        <v>107</v>
      </c>
      <c r="G107" s="14">
        <f>8063.58-17.8</f>
        <v>8045.78</v>
      </c>
      <c r="H107" s="14">
        <v>8429.66</v>
      </c>
      <c r="I107" s="14">
        <v>8766.3799999999992</v>
      </c>
    </row>
    <row r="108" spans="1:9" ht="57.75" customHeight="1" x14ac:dyDescent="0.25">
      <c r="A108" s="18">
        <f t="shared" si="50"/>
        <v>97</v>
      </c>
      <c r="B108" s="16" t="s">
        <v>33</v>
      </c>
      <c r="C108" s="17" t="s">
        <v>14</v>
      </c>
      <c r="D108" s="17" t="s">
        <v>103</v>
      </c>
      <c r="E108" s="17" t="s">
        <v>105</v>
      </c>
      <c r="F108" s="17" t="s">
        <v>34</v>
      </c>
      <c r="G108" s="14">
        <f>602-70.12</f>
        <v>531.88</v>
      </c>
      <c r="H108" s="14">
        <v>552</v>
      </c>
      <c r="I108" s="14">
        <v>602</v>
      </c>
    </row>
    <row r="109" spans="1:9" ht="36" x14ac:dyDescent="0.25">
      <c r="A109" s="18">
        <f t="shared" si="50"/>
        <v>98</v>
      </c>
      <c r="B109" s="16" t="s">
        <v>37</v>
      </c>
      <c r="C109" s="17" t="s">
        <v>14</v>
      </c>
      <c r="D109" s="17" t="s">
        <v>103</v>
      </c>
      <c r="E109" s="17" t="s">
        <v>105</v>
      </c>
      <c r="F109" s="17" t="s">
        <v>38</v>
      </c>
      <c r="G109" s="14">
        <v>3</v>
      </c>
      <c r="H109" s="14">
        <v>3</v>
      </c>
      <c r="I109" s="14">
        <v>3</v>
      </c>
    </row>
    <row r="110" spans="1:9" ht="57.75" customHeight="1" x14ac:dyDescent="0.25">
      <c r="A110" s="18">
        <f t="shared" si="50"/>
        <v>99</v>
      </c>
      <c r="B110" s="16" t="s">
        <v>108</v>
      </c>
      <c r="C110" s="17" t="s">
        <v>14</v>
      </c>
      <c r="D110" s="17" t="s">
        <v>103</v>
      </c>
      <c r="E110" s="17" t="s">
        <v>109</v>
      </c>
      <c r="F110" s="17"/>
      <c r="G110" s="14">
        <f>SUM(G111)</f>
        <v>650</v>
      </c>
      <c r="H110" s="14">
        <f t="shared" ref="H110:I110" si="57">SUM(H111)</f>
        <v>650</v>
      </c>
      <c r="I110" s="14">
        <f t="shared" si="57"/>
        <v>650</v>
      </c>
    </row>
    <row r="111" spans="1:9" ht="58.5" customHeight="1" x14ac:dyDescent="0.25">
      <c r="A111" s="18">
        <f t="shared" si="50"/>
        <v>100</v>
      </c>
      <c r="B111" s="16" t="s">
        <v>33</v>
      </c>
      <c r="C111" s="17" t="s">
        <v>14</v>
      </c>
      <c r="D111" s="17" t="s">
        <v>103</v>
      </c>
      <c r="E111" s="17" t="s">
        <v>109</v>
      </c>
      <c r="F111" s="17" t="s">
        <v>34</v>
      </c>
      <c r="G111" s="14">
        <v>650</v>
      </c>
      <c r="H111" s="14">
        <v>650</v>
      </c>
      <c r="I111" s="14">
        <v>650</v>
      </c>
    </row>
    <row r="112" spans="1:9" ht="36" x14ac:dyDescent="0.25">
      <c r="A112" s="18">
        <f t="shared" si="50"/>
        <v>101</v>
      </c>
      <c r="B112" s="16" t="s">
        <v>110</v>
      </c>
      <c r="C112" s="17" t="s">
        <v>14</v>
      </c>
      <c r="D112" s="17" t="s">
        <v>103</v>
      </c>
      <c r="E112" s="17" t="s">
        <v>111</v>
      </c>
      <c r="F112" s="17"/>
      <c r="G112" s="14">
        <f>SUM(G113)</f>
        <v>40</v>
      </c>
      <c r="H112" s="14">
        <f t="shared" ref="H112:I112" si="58">SUM(H113)</f>
        <v>100</v>
      </c>
      <c r="I112" s="14">
        <f t="shared" si="58"/>
        <v>100</v>
      </c>
    </row>
    <row r="113" spans="1:9" ht="57" customHeight="1" x14ac:dyDescent="0.25">
      <c r="A113" s="18">
        <f t="shared" si="50"/>
        <v>102</v>
      </c>
      <c r="B113" s="16" t="s">
        <v>33</v>
      </c>
      <c r="C113" s="17" t="s">
        <v>14</v>
      </c>
      <c r="D113" s="17" t="s">
        <v>103</v>
      </c>
      <c r="E113" s="17" t="s">
        <v>111</v>
      </c>
      <c r="F113" s="17" t="s">
        <v>34</v>
      </c>
      <c r="G113" s="14">
        <f>100-30-30</f>
        <v>40</v>
      </c>
      <c r="H113" s="14">
        <v>100</v>
      </c>
      <c r="I113" s="14">
        <v>100</v>
      </c>
    </row>
    <row r="114" spans="1:9" ht="54" x14ac:dyDescent="0.25">
      <c r="A114" s="18">
        <f t="shared" si="50"/>
        <v>103</v>
      </c>
      <c r="B114" s="16" t="s">
        <v>112</v>
      </c>
      <c r="C114" s="17" t="s">
        <v>14</v>
      </c>
      <c r="D114" s="17" t="s">
        <v>103</v>
      </c>
      <c r="E114" s="17" t="s">
        <v>113</v>
      </c>
      <c r="F114" s="17"/>
      <c r="G114" s="14">
        <f>SUM(G115+G117+G120+G122+G124+G126)</f>
        <v>31051.599999999999</v>
      </c>
      <c r="H114" s="14">
        <f>SUM(H115+H117+H120+H122+H124+H126)</f>
        <v>31071.599999999999</v>
      </c>
      <c r="I114" s="14">
        <f>SUM(I115+I117+I120+I122+I124+I126)</f>
        <v>31071.599999999999</v>
      </c>
    </row>
    <row r="115" spans="1:9" ht="72" x14ac:dyDescent="0.25">
      <c r="A115" s="18">
        <f t="shared" si="50"/>
        <v>104</v>
      </c>
      <c r="B115" s="16" t="s">
        <v>114</v>
      </c>
      <c r="C115" s="17" t="s">
        <v>14</v>
      </c>
      <c r="D115" s="17" t="s">
        <v>103</v>
      </c>
      <c r="E115" s="17" t="s">
        <v>115</v>
      </c>
      <c r="F115" s="17"/>
      <c r="G115" s="14">
        <f>SUM(G116)</f>
        <v>35</v>
      </c>
      <c r="H115" s="14">
        <f t="shared" ref="H115:I115" si="59">SUM(H116)</f>
        <v>55</v>
      </c>
      <c r="I115" s="14">
        <f t="shared" si="59"/>
        <v>55</v>
      </c>
    </row>
    <row r="116" spans="1:9" ht="58.5" customHeight="1" x14ac:dyDescent="0.25">
      <c r="A116" s="18">
        <f t="shared" si="50"/>
        <v>105</v>
      </c>
      <c r="B116" s="16" t="s">
        <v>33</v>
      </c>
      <c r="C116" s="17" t="s">
        <v>14</v>
      </c>
      <c r="D116" s="17" t="s">
        <v>103</v>
      </c>
      <c r="E116" s="17" t="s">
        <v>115</v>
      </c>
      <c r="F116" s="17" t="s">
        <v>34</v>
      </c>
      <c r="G116" s="14">
        <f>55-20</f>
        <v>35</v>
      </c>
      <c r="H116" s="14">
        <v>55</v>
      </c>
      <c r="I116" s="14">
        <v>55</v>
      </c>
    </row>
    <row r="117" spans="1:9" ht="54" x14ac:dyDescent="0.25">
      <c r="A117" s="18">
        <f>SUM(A116+1)</f>
        <v>106</v>
      </c>
      <c r="B117" s="16" t="s">
        <v>116</v>
      </c>
      <c r="C117" s="17" t="s">
        <v>14</v>
      </c>
      <c r="D117" s="17" t="s">
        <v>103</v>
      </c>
      <c r="E117" s="17" t="s">
        <v>117</v>
      </c>
      <c r="F117" s="17"/>
      <c r="G117" s="14">
        <f>SUM(G118:G119)</f>
        <v>27504</v>
      </c>
      <c r="H117" s="14">
        <f t="shared" ref="H117:I117" si="60">SUM(H118:H119)</f>
        <v>27504</v>
      </c>
      <c r="I117" s="14">
        <f t="shared" si="60"/>
        <v>27504</v>
      </c>
    </row>
    <row r="118" spans="1:9" ht="55.5" customHeight="1" x14ac:dyDescent="0.25">
      <c r="A118" s="18">
        <f t="shared" si="50"/>
        <v>107</v>
      </c>
      <c r="B118" s="16" t="s">
        <v>33</v>
      </c>
      <c r="C118" s="17" t="s">
        <v>14</v>
      </c>
      <c r="D118" s="17" t="s">
        <v>103</v>
      </c>
      <c r="E118" s="17" t="s">
        <v>117</v>
      </c>
      <c r="F118" s="17" t="s">
        <v>34</v>
      </c>
      <c r="G118" s="14">
        <f>27504-26420+10696.02</f>
        <v>11780.02</v>
      </c>
      <c r="H118" s="14">
        <v>27504</v>
      </c>
      <c r="I118" s="14">
        <v>27504</v>
      </c>
    </row>
    <row r="119" spans="1:9" ht="21" customHeight="1" x14ac:dyDescent="0.25">
      <c r="A119" s="18">
        <f t="shared" si="50"/>
        <v>108</v>
      </c>
      <c r="B119" s="16" t="s">
        <v>284</v>
      </c>
      <c r="C119" s="17" t="s">
        <v>14</v>
      </c>
      <c r="D119" s="17" t="s">
        <v>103</v>
      </c>
      <c r="E119" s="17" t="s">
        <v>117</v>
      </c>
      <c r="F119" s="17">
        <v>410</v>
      </c>
      <c r="G119" s="14">
        <f>26420-10696.02</f>
        <v>15723.98</v>
      </c>
      <c r="H119" s="14">
        <v>0</v>
      </c>
      <c r="I119" s="14">
        <v>0</v>
      </c>
    </row>
    <row r="120" spans="1:9" ht="72" x14ac:dyDescent="0.25">
      <c r="A120" s="18">
        <f t="shared" si="50"/>
        <v>109</v>
      </c>
      <c r="B120" s="16" t="s">
        <v>118</v>
      </c>
      <c r="C120" s="17" t="s">
        <v>14</v>
      </c>
      <c r="D120" s="17" t="s">
        <v>103</v>
      </c>
      <c r="E120" s="17" t="s">
        <v>119</v>
      </c>
      <c r="F120" s="17"/>
      <c r="G120" s="14">
        <f>SUM(G121)</f>
        <v>602.6</v>
      </c>
      <c r="H120" s="14">
        <f t="shared" ref="H120:I120" si="61">SUM(H121)</f>
        <v>602.6</v>
      </c>
      <c r="I120" s="14">
        <f t="shared" si="61"/>
        <v>602.6</v>
      </c>
    </row>
    <row r="121" spans="1:9" ht="108" x14ac:dyDescent="0.25">
      <c r="A121" s="18">
        <f t="shared" si="50"/>
        <v>110</v>
      </c>
      <c r="B121" s="16" t="s">
        <v>120</v>
      </c>
      <c r="C121" s="17" t="s">
        <v>14</v>
      </c>
      <c r="D121" s="17" t="s">
        <v>103</v>
      </c>
      <c r="E121" s="17" t="s">
        <v>119</v>
      </c>
      <c r="F121" s="17" t="s">
        <v>121</v>
      </c>
      <c r="G121" s="14">
        <v>602.6</v>
      </c>
      <c r="H121" s="14">
        <v>602.6</v>
      </c>
      <c r="I121" s="14">
        <v>602.6</v>
      </c>
    </row>
    <row r="122" spans="1:9" ht="36" x14ac:dyDescent="0.25">
      <c r="A122" s="18">
        <f t="shared" si="50"/>
        <v>111</v>
      </c>
      <c r="B122" s="16" t="s">
        <v>122</v>
      </c>
      <c r="C122" s="17" t="s">
        <v>14</v>
      </c>
      <c r="D122" s="17" t="s">
        <v>103</v>
      </c>
      <c r="E122" s="17" t="s">
        <v>123</v>
      </c>
      <c r="F122" s="17"/>
      <c r="G122" s="14">
        <f>SUM(G123)</f>
        <v>120</v>
      </c>
      <c r="H122" s="14">
        <f t="shared" ref="H122:I122" si="62">SUM(H123)</f>
        <v>120</v>
      </c>
      <c r="I122" s="14">
        <f t="shared" si="62"/>
        <v>120</v>
      </c>
    </row>
    <row r="123" spans="1:9" ht="55.5" customHeight="1" x14ac:dyDescent="0.25">
      <c r="A123" s="18">
        <f t="shared" si="50"/>
        <v>112</v>
      </c>
      <c r="B123" s="16" t="s">
        <v>33</v>
      </c>
      <c r="C123" s="17" t="s">
        <v>14</v>
      </c>
      <c r="D123" s="17" t="s">
        <v>103</v>
      </c>
      <c r="E123" s="17" t="s">
        <v>123</v>
      </c>
      <c r="F123" s="17" t="s">
        <v>34</v>
      </c>
      <c r="G123" s="14">
        <v>120</v>
      </c>
      <c r="H123" s="14">
        <v>120</v>
      </c>
      <c r="I123" s="14">
        <v>120</v>
      </c>
    </row>
    <row r="124" spans="1:9" ht="39.75" customHeight="1" x14ac:dyDescent="0.25">
      <c r="A124" s="18">
        <f t="shared" si="50"/>
        <v>113</v>
      </c>
      <c r="B124" s="16" t="s">
        <v>124</v>
      </c>
      <c r="C124" s="17" t="s">
        <v>14</v>
      </c>
      <c r="D124" s="17" t="s">
        <v>103</v>
      </c>
      <c r="E124" s="17" t="s">
        <v>125</v>
      </c>
      <c r="F124" s="17"/>
      <c r="G124" s="14">
        <f>SUM(G125)</f>
        <v>2700</v>
      </c>
      <c r="H124" s="14">
        <f t="shared" ref="H124:I124" si="63">SUM(H125)</f>
        <v>2700</v>
      </c>
      <c r="I124" s="14">
        <f t="shared" si="63"/>
        <v>2700</v>
      </c>
    </row>
    <row r="125" spans="1:9" ht="56.25" customHeight="1" x14ac:dyDescent="0.25">
      <c r="A125" s="18">
        <f t="shared" si="50"/>
        <v>114</v>
      </c>
      <c r="B125" s="16" t="s">
        <v>33</v>
      </c>
      <c r="C125" s="17" t="s">
        <v>14</v>
      </c>
      <c r="D125" s="17" t="s">
        <v>103</v>
      </c>
      <c r="E125" s="17" t="s">
        <v>125</v>
      </c>
      <c r="F125" s="17" t="s">
        <v>34</v>
      </c>
      <c r="G125" s="14">
        <v>2700</v>
      </c>
      <c r="H125" s="14">
        <v>2700</v>
      </c>
      <c r="I125" s="14">
        <v>2700</v>
      </c>
    </row>
    <row r="126" spans="1:9" ht="108" x14ac:dyDescent="0.25">
      <c r="A126" s="18">
        <f t="shared" si="50"/>
        <v>115</v>
      </c>
      <c r="B126" s="16" t="s">
        <v>126</v>
      </c>
      <c r="C126" s="17" t="s">
        <v>14</v>
      </c>
      <c r="D126" s="17" t="s">
        <v>103</v>
      </c>
      <c r="E126" s="17" t="s">
        <v>127</v>
      </c>
      <c r="F126" s="17"/>
      <c r="G126" s="14">
        <f>SUM(G127)</f>
        <v>90</v>
      </c>
      <c r="H126" s="14">
        <f t="shared" ref="H126:I126" si="64">SUM(H127)</f>
        <v>90</v>
      </c>
      <c r="I126" s="14">
        <f t="shared" si="64"/>
        <v>90</v>
      </c>
    </row>
    <row r="127" spans="1:9" ht="57.75" customHeight="1" x14ac:dyDescent="0.25">
      <c r="A127" s="18">
        <f t="shared" si="50"/>
        <v>116</v>
      </c>
      <c r="B127" s="16" t="s">
        <v>33</v>
      </c>
      <c r="C127" s="17" t="s">
        <v>14</v>
      </c>
      <c r="D127" s="17" t="s">
        <v>103</v>
      </c>
      <c r="E127" s="17" t="s">
        <v>127</v>
      </c>
      <c r="F127" s="17" t="s">
        <v>34</v>
      </c>
      <c r="G127" s="14">
        <v>90</v>
      </c>
      <c r="H127" s="14">
        <v>90</v>
      </c>
      <c r="I127" s="14">
        <v>90</v>
      </c>
    </row>
    <row r="128" spans="1:9" ht="72" x14ac:dyDescent="0.25">
      <c r="A128" s="18">
        <f t="shared" si="50"/>
        <v>117</v>
      </c>
      <c r="B128" s="16" t="s">
        <v>128</v>
      </c>
      <c r="C128" s="17" t="s">
        <v>14</v>
      </c>
      <c r="D128" s="17" t="s">
        <v>103</v>
      </c>
      <c r="E128" s="17" t="s">
        <v>129</v>
      </c>
      <c r="F128" s="17"/>
      <c r="G128" s="14">
        <f>SUM(G129)</f>
        <v>30</v>
      </c>
      <c r="H128" s="14">
        <f t="shared" ref="H128:I128" si="65">SUM(H129)</f>
        <v>100</v>
      </c>
      <c r="I128" s="14">
        <f t="shared" si="65"/>
        <v>100</v>
      </c>
    </row>
    <row r="129" spans="1:9" ht="36" x14ac:dyDescent="0.25">
      <c r="A129" s="18">
        <f t="shared" si="50"/>
        <v>118</v>
      </c>
      <c r="B129" s="16" t="s">
        <v>130</v>
      </c>
      <c r="C129" s="17" t="s">
        <v>14</v>
      </c>
      <c r="D129" s="17" t="s">
        <v>103</v>
      </c>
      <c r="E129" s="17" t="s">
        <v>131</v>
      </c>
      <c r="F129" s="17"/>
      <c r="G129" s="14">
        <f>SUM(G130)</f>
        <v>30</v>
      </c>
      <c r="H129" s="14">
        <f t="shared" ref="H129:I129" si="66">SUM(H130)</f>
        <v>100</v>
      </c>
      <c r="I129" s="14">
        <f t="shared" si="66"/>
        <v>100</v>
      </c>
    </row>
    <row r="130" spans="1:9" ht="56.25" customHeight="1" x14ac:dyDescent="0.25">
      <c r="A130" s="18">
        <f t="shared" si="50"/>
        <v>119</v>
      </c>
      <c r="B130" s="16" t="s">
        <v>33</v>
      </c>
      <c r="C130" s="17" t="s">
        <v>14</v>
      </c>
      <c r="D130" s="17" t="s">
        <v>103</v>
      </c>
      <c r="E130" s="17" t="s">
        <v>131</v>
      </c>
      <c r="F130" s="17" t="s">
        <v>34</v>
      </c>
      <c r="G130" s="14">
        <f>100-70</f>
        <v>30</v>
      </c>
      <c r="H130" s="14">
        <v>100</v>
      </c>
      <c r="I130" s="14">
        <v>100</v>
      </c>
    </row>
    <row r="131" spans="1:9" ht="18.75" customHeight="1" x14ac:dyDescent="0.25">
      <c r="A131" s="18">
        <f t="shared" si="50"/>
        <v>120</v>
      </c>
      <c r="B131" s="16" t="s">
        <v>811</v>
      </c>
      <c r="C131" s="17" t="s">
        <v>14</v>
      </c>
      <c r="D131" s="17" t="s">
        <v>103</v>
      </c>
      <c r="E131" s="27" t="s">
        <v>45</v>
      </c>
      <c r="F131" s="17"/>
      <c r="G131" s="14">
        <f>SUM(G134+G132)</f>
        <v>1447.02</v>
      </c>
      <c r="H131" s="14">
        <f t="shared" ref="H131:I131" si="67">SUM(H134)</f>
        <v>0</v>
      </c>
      <c r="I131" s="14">
        <f t="shared" si="67"/>
        <v>0</v>
      </c>
    </row>
    <row r="132" spans="1:9" ht="18.75" customHeight="1" x14ac:dyDescent="0.25">
      <c r="A132" s="18">
        <f t="shared" si="50"/>
        <v>121</v>
      </c>
      <c r="B132" s="16" t="s">
        <v>886</v>
      </c>
      <c r="C132" s="17" t="s">
        <v>14</v>
      </c>
      <c r="D132" s="17" t="s">
        <v>103</v>
      </c>
      <c r="E132" s="27" t="s">
        <v>882</v>
      </c>
      <c r="F132" s="17"/>
      <c r="G132" s="14">
        <f>SUM(G133)</f>
        <v>247.02</v>
      </c>
      <c r="H132" s="14">
        <f t="shared" ref="H132:I132" si="68">SUM(H133)</f>
        <v>0</v>
      </c>
      <c r="I132" s="14">
        <f t="shared" si="68"/>
        <v>0</v>
      </c>
    </row>
    <row r="133" spans="1:9" ht="39.75" customHeight="1" x14ac:dyDescent="0.25">
      <c r="A133" s="18">
        <f t="shared" si="50"/>
        <v>122</v>
      </c>
      <c r="B133" s="16" t="s">
        <v>106</v>
      </c>
      <c r="C133" s="17" t="s">
        <v>14</v>
      </c>
      <c r="D133" s="17" t="s">
        <v>103</v>
      </c>
      <c r="E133" s="27" t="s">
        <v>882</v>
      </c>
      <c r="F133" s="17">
        <v>110</v>
      </c>
      <c r="G133" s="14">
        <v>247.02</v>
      </c>
      <c r="H133" s="14">
        <v>0</v>
      </c>
      <c r="I133" s="14">
        <v>0</v>
      </c>
    </row>
    <row r="134" spans="1:9" ht="43.5" customHeight="1" x14ac:dyDescent="0.25">
      <c r="A134" s="18">
        <f t="shared" si="50"/>
        <v>123</v>
      </c>
      <c r="B134" s="16" t="s">
        <v>812</v>
      </c>
      <c r="C134" s="17" t="s">
        <v>14</v>
      </c>
      <c r="D134" s="17" t="s">
        <v>103</v>
      </c>
      <c r="E134" s="27" t="s">
        <v>810</v>
      </c>
      <c r="F134" s="17"/>
      <c r="G134" s="14">
        <f>SUM(G135)</f>
        <v>1200</v>
      </c>
      <c r="H134" s="14">
        <f t="shared" ref="H134:I134" si="69">SUM(H135)</f>
        <v>0</v>
      </c>
      <c r="I134" s="14">
        <f t="shared" si="69"/>
        <v>0</v>
      </c>
    </row>
    <row r="135" spans="1:9" ht="56.25" customHeight="1" x14ac:dyDescent="0.25">
      <c r="A135" s="18">
        <f t="shared" si="50"/>
        <v>124</v>
      </c>
      <c r="B135" s="16" t="s">
        <v>491</v>
      </c>
      <c r="C135" s="17" t="s">
        <v>14</v>
      </c>
      <c r="D135" s="17" t="s">
        <v>103</v>
      </c>
      <c r="E135" s="27" t="s">
        <v>810</v>
      </c>
      <c r="F135" s="17">
        <v>320</v>
      </c>
      <c r="G135" s="14">
        <v>1200</v>
      </c>
      <c r="H135" s="14">
        <v>0</v>
      </c>
      <c r="I135" s="14">
        <v>0</v>
      </c>
    </row>
    <row r="136" spans="1:9" ht="54" x14ac:dyDescent="0.25">
      <c r="A136" s="19">
        <f t="shared" si="50"/>
        <v>125</v>
      </c>
      <c r="B136" s="20" t="s">
        <v>132</v>
      </c>
      <c r="C136" s="21" t="s">
        <v>14</v>
      </c>
      <c r="D136" s="21" t="s">
        <v>133</v>
      </c>
      <c r="E136" s="21"/>
      <c r="F136" s="21"/>
      <c r="G136" s="13">
        <f>SUM(G137+G150+G155)</f>
        <v>8891.9</v>
      </c>
      <c r="H136" s="13">
        <f t="shared" ref="H136:I136" si="70">SUM(H137+H150+H155)</f>
        <v>1816.5</v>
      </c>
      <c r="I136" s="13">
        <f t="shared" si="70"/>
        <v>1816.5</v>
      </c>
    </row>
    <row r="137" spans="1:9" ht="72" x14ac:dyDescent="0.25">
      <c r="A137" s="18">
        <f t="shared" si="50"/>
        <v>126</v>
      </c>
      <c r="B137" s="16" t="s">
        <v>80</v>
      </c>
      <c r="C137" s="17" t="s">
        <v>14</v>
      </c>
      <c r="D137" s="17" t="s">
        <v>133</v>
      </c>
      <c r="E137" s="17" t="s">
        <v>81</v>
      </c>
      <c r="F137" s="17"/>
      <c r="G137" s="14">
        <f>SUM(G138+G141)</f>
        <v>8189.42</v>
      </c>
      <c r="H137" s="14">
        <f t="shared" ref="H137:I137" si="71">SUM(H138+H141)</f>
        <v>1691.5</v>
      </c>
      <c r="I137" s="14">
        <f t="shared" si="71"/>
        <v>1691.5</v>
      </c>
    </row>
    <row r="138" spans="1:9" ht="54" x14ac:dyDescent="0.25">
      <c r="A138" s="18">
        <f t="shared" si="50"/>
        <v>127</v>
      </c>
      <c r="B138" s="16" t="s">
        <v>82</v>
      </c>
      <c r="C138" s="17" t="s">
        <v>14</v>
      </c>
      <c r="D138" s="17" t="s">
        <v>133</v>
      </c>
      <c r="E138" s="17" t="s">
        <v>83</v>
      </c>
      <c r="F138" s="17"/>
      <c r="G138" s="14">
        <f>SUM(G139)</f>
        <v>12.5</v>
      </c>
      <c r="H138" s="14">
        <f t="shared" ref="H138:I138" si="72">SUM(H139)</f>
        <v>12.5</v>
      </c>
      <c r="I138" s="14">
        <f t="shared" si="72"/>
        <v>12.5</v>
      </c>
    </row>
    <row r="139" spans="1:9" ht="72" x14ac:dyDescent="0.25">
      <c r="A139" s="18">
        <f t="shared" si="50"/>
        <v>128</v>
      </c>
      <c r="B139" s="16" t="s">
        <v>134</v>
      </c>
      <c r="C139" s="17" t="s">
        <v>14</v>
      </c>
      <c r="D139" s="17" t="s">
        <v>133</v>
      </c>
      <c r="E139" s="17" t="s">
        <v>135</v>
      </c>
      <c r="F139" s="17"/>
      <c r="G139" s="14">
        <f>SUM(G140)</f>
        <v>12.5</v>
      </c>
      <c r="H139" s="14">
        <f t="shared" ref="H139:I139" si="73">SUM(H140)</f>
        <v>12.5</v>
      </c>
      <c r="I139" s="14">
        <f t="shared" si="73"/>
        <v>12.5</v>
      </c>
    </row>
    <row r="140" spans="1:9" ht="57.75" customHeight="1" x14ac:dyDescent="0.25">
      <c r="A140" s="18">
        <f t="shared" si="50"/>
        <v>129</v>
      </c>
      <c r="B140" s="16" t="s">
        <v>33</v>
      </c>
      <c r="C140" s="17" t="s">
        <v>14</v>
      </c>
      <c r="D140" s="17" t="s">
        <v>133</v>
      </c>
      <c r="E140" s="17" t="s">
        <v>135</v>
      </c>
      <c r="F140" s="17" t="s">
        <v>34</v>
      </c>
      <c r="G140" s="14">
        <v>12.5</v>
      </c>
      <c r="H140" s="14">
        <v>12.5</v>
      </c>
      <c r="I140" s="14">
        <v>12.5</v>
      </c>
    </row>
    <row r="141" spans="1:9" ht="54" x14ac:dyDescent="0.25">
      <c r="A141" s="18">
        <f t="shared" si="50"/>
        <v>130</v>
      </c>
      <c r="B141" s="16" t="s">
        <v>136</v>
      </c>
      <c r="C141" s="17" t="s">
        <v>14</v>
      </c>
      <c r="D141" s="17" t="s">
        <v>133</v>
      </c>
      <c r="E141" s="17" t="s">
        <v>137</v>
      </c>
      <c r="F141" s="17"/>
      <c r="G141" s="14">
        <f>SUM(G142+G144+G146+G148)</f>
        <v>8176.92</v>
      </c>
      <c r="H141" s="14">
        <f t="shared" ref="H141:I141" si="74">SUM(H142+H144+H146+H148)</f>
        <v>1679</v>
      </c>
      <c r="I141" s="14">
        <f t="shared" si="74"/>
        <v>1679</v>
      </c>
    </row>
    <row r="142" spans="1:9" ht="72" x14ac:dyDescent="0.25">
      <c r="A142" s="18">
        <f t="shared" si="50"/>
        <v>131</v>
      </c>
      <c r="B142" s="16" t="s">
        <v>138</v>
      </c>
      <c r="C142" s="17" t="s">
        <v>14</v>
      </c>
      <c r="D142" s="17" t="s">
        <v>133</v>
      </c>
      <c r="E142" s="17" t="s">
        <v>139</v>
      </c>
      <c r="F142" s="17"/>
      <c r="G142" s="14">
        <f>SUM(G143)</f>
        <v>5</v>
      </c>
      <c r="H142" s="14">
        <f t="shared" ref="H142:I142" si="75">SUM(H143)</f>
        <v>5</v>
      </c>
      <c r="I142" s="14">
        <f t="shared" si="75"/>
        <v>5</v>
      </c>
    </row>
    <row r="143" spans="1:9" ht="18" x14ac:dyDescent="0.25">
      <c r="A143" s="18">
        <f t="shared" si="50"/>
        <v>132</v>
      </c>
      <c r="B143" s="16" t="s">
        <v>140</v>
      </c>
      <c r="C143" s="17" t="s">
        <v>14</v>
      </c>
      <c r="D143" s="17" t="s">
        <v>133</v>
      </c>
      <c r="E143" s="17" t="s">
        <v>139</v>
      </c>
      <c r="F143" s="17" t="s">
        <v>141</v>
      </c>
      <c r="G143" s="14">
        <v>5</v>
      </c>
      <c r="H143" s="14">
        <v>5</v>
      </c>
      <c r="I143" s="14">
        <v>5</v>
      </c>
    </row>
    <row r="144" spans="1:9" ht="183.75" customHeight="1" x14ac:dyDescent="0.25">
      <c r="A144" s="18">
        <f t="shared" si="50"/>
        <v>133</v>
      </c>
      <c r="B144" s="16" t="s">
        <v>881</v>
      </c>
      <c r="C144" s="17" t="s">
        <v>14</v>
      </c>
      <c r="D144" s="17" t="s">
        <v>133</v>
      </c>
      <c r="E144" s="17" t="s">
        <v>142</v>
      </c>
      <c r="F144" s="17"/>
      <c r="G144" s="14">
        <f>SUM(G145)</f>
        <v>539.91999999999996</v>
      </c>
      <c r="H144" s="14">
        <f t="shared" ref="H144:I144" si="76">SUM(H145)</f>
        <v>452</v>
      </c>
      <c r="I144" s="14">
        <f t="shared" si="76"/>
        <v>452</v>
      </c>
    </row>
    <row r="145" spans="1:9" ht="58.5" customHeight="1" x14ac:dyDescent="0.25">
      <c r="A145" s="18">
        <f t="shared" si="50"/>
        <v>134</v>
      </c>
      <c r="B145" s="16" t="s">
        <v>33</v>
      </c>
      <c r="C145" s="17" t="s">
        <v>14</v>
      </c>
      <c r="D145" s="17" t="s">
        <v>133</v>
      </c>
      <c r="E145" s="17" t="s">
        <v>142</v>
      </c>
      <c r="F145" s="17" t="s">
        <v>34</v>
      </c>
      <c r="G145" s="14">
        <f>452+87.92</f>
        <v>539.91999999999996</v>
      </c>
      <c r="H145" s="14">
        <v>452</v>
      </c>
      <c r="I145" s="14">
        <v>452</v>
      </c>
    </row>
    <row r="146" spans="1:9" ht="108" x14ac:dyDescent="0.25">
      <c r="A146" s="18">
        <f t="shared" si="50"/>
        <v>135</v>
      </c>
      <c r="B146" s="16" t="s">
        <v>143</v>
      </c>
      <c r="C146" s="17" t="s">
        <v>14</v>
      </c>
      <c r="D146" s="17" t="s">
        <v>133</v>
      </c>
      <c r="E146" s="17" t="s">
        <v>144</v>
      </c>
      <c r="F146" s="17"/>
      <c r="G146" s="14">
        <f>SUM(G147)</f>
        <v>872</v>
      </c>
      <c r="H146" s="14">
        <f t="shared" ref="H146:I146" si="77">SUM(H147)</f>
        <v>872</v>
      </c>
      <c r="I146" s="14">
        <f t="shared" si="77"/>
        <v>872</v>
      </c>
    </row>
    <row r="147" spans="1:9" ht="108" x14ac:dyDescent="0.25">
      <c r="A147" s="18">
        <f t="shared" si="50"/>
        <v>136</v>
      </c>
      <c r="B147" s="16" t="s">
        <v>120</v>
      </c>
      <c r="C147" s="17" t="s">
        <v>14</v>
      </c>
      <c r="D147" s="17" t="s">
        <v>133</v>
      </c>
      <c r="E147" s="17" t="s">
        <v>144</v>
      </c>
      <c r="F147" s="17" t="s">
        <v>121</v>
      </c>
      <c r="G147" s="14">
        <v>872</v>
      </c>
      <c r="H147" s="14">
        <v>872</v>
      </c>
      <c r="I147" s="14">
        <v>872</v>
      </c>
    </row>
    <row r="148" spans="1:9" ht="72" x14ac:dyDescent="0.25">
      <c r="A148" s="18">
        <f t="shared" si="50"/>
        <v>137</v>
      </c>
      <c r="B148" s="16" t="s">
        <v>145</v>
      </c>
      <c r="C148" s="17" t="s">
        <v>14</v>
      </c>
      <c r="D148" s="17" t="s">
        <v>133</v>
      </c>
      <c r="E148" s="17" t="s">
        <v>146</v>
      </c>
      <c r="F148" s="17"/>
      <c r="G148" s="14">
        <f>SUM(G149)</f>
        <v>6760</v>
      </c>
      <c r="H148" s="14">
        <f t="shared" ref="H148:I148" si="78">SUM(H149)</f>
        <v>350</v>
      </c>
      <c r="I148" s="14">
        <f t="shared" si="78"/>
        <v>350</v>
      </c>
    </row>
    <row r="149" spans="1:9" ht="56.25" customHeight="1" x14ac:dyDescent="0.25">
      <c r="A149" s="18">
        <f t="shared" si="50"/>
        <v>138</v>
      </c>
      <c r="B149" s="16" t="s">
        <v>33</v>
      </c>
      <c r="C149" s="17" t="s">
        <v>14</v>
      </c>
      <c r="D149" s="17" t="s">
        <v>133</v>
      </c>
      <c r="E149" s="17" t="s">
        <v>146</v>
      </c>
      <c r="F149" s="17" t="s">
        <v>34</v>
      </c>
      <c r="G149" s="14">
        <f>6500+260</f>
        <v>6760</v>
      </c>
      <c r="H149" s="14">
        <v>350</v>
      </c>
      <c r="I149" s="14">
        <v>350</v>
      </c>
    </row>
    <row r="150" spans="1:9" ht="90" x14ac:dyDescent="0.25">
      <c r="A150" s="18">
        <f t="shared" si="50"/>
        <v>139</v>
      </c>
      <c r="B150" s="16" t="s">
        <v>147</v>
      </c>
      <c r="C150" s="17" t="s">
        <v>14</v>
      </c>
      <c r="D150" s="17" t="s">
        <v>133</v>
      </c>
      <c r="E150" s="17" t="s">
        <v>148</v>
      </c>
      <c r="F150" s="17"/>
      <c r="G150" s="14">
        <f>SUM(G151+G153)</f>
        <v>105</v>
      </c>
      <c r="H150" s="14">
        <f t="shared" ref="H150:I150" si="79">SUM(H151+H153)</f>
        <v>105</v>
      </c>
      <c r="I150" s="14">
        <f t="shared" si="79"/>
        <v>105</v>
      </c>
    </row>
    <row r="151" spans="1:9" ht="72" x14ac:dyDescent="0.25">
      <c r="A151" s="18">
        <f t="shared" si="50"/>
        <v>140</v>
      </c>
      <c r="B151" s="16" t="s">
        <v>149</v>
      </c>
      <c r="C151" s="17" t="s">
        <v>14</v>
      </c>
      <c r="D151" s="17" t="s">
        <v>133</v>
      </c>
      <c r="E151" s="17" t="s">
        <v>150</v>
      </c>
      <c r="F151" s="17"/>
      <c r="G151" s="14">
        <f>SUM(G152)</f>
        <v>40</v>
      </c>
      <c r="H151" s="14">
        <f t="shared" ref="H151:I151" si="80">SUM(H152)</f>
        <v>40</v>
      </c>
      <c r="I151" s="14">
        <f t="shared" si="80"/>
        <v>40</v>
      </c>
    </row>
    <row r="152" spans="1:9" ht="57" customHeight="1" x14ac:dyDescent="0.25">
      <c r="A152" s="18">
        <f t="shared" si="50"/>
        <v>141</v>
      </c>
      <c r="B152" s="16" t="s">
        <v>33</v>
      </c>
      <c r="C152" s="17" t="s">
        <v>14</v>
      </c>
      <c r="D152" s="17" t="s">
        <v>133</v>
      </c>
      <c r="E152" s="17" t="s">
        <v>150</v>
      </c>
      <c r="F152" s="17" t="s">
        <v>34</v>
      </c>
      <c r="G152" s="14">
        <v>40</v>
      </c>
      <c r="H152" s="14">
        <v>40</v>
      </c>
      <c r="I152" s="14">
        <v>40</v>
      </c>
    </row>
    <row r="153" spans="1:9" ht="55.5" customHeight="1" x14ac:dyDescent="0.25">
      <c r="A153" s="18">
        <f t="shared" si="50"/>
        <v>142</v>
      </c>
      <c r="B153" s="16" t="s">
        <v>151</v>
      </c>
      <c r="C153" s="17" t="s">
        <v>14</v>
      </c>
      <c r="D153" s="17" t="s">
        <v>133</v>
      </c>
      <c r="E153" s="17" t="s">
        <v>152</v>
      </c>
      <c r="F153" s="17"/>
      <c r="G153" s="14">
        <f>SUM(G154)</f>
        <v>65</v>
      </c>
      <c r="H153" s="14">
        <f t="shared" ref="H153:I153" si="81">SUM(H154)</f>
        <v>65</v>
      </c>
      <c r="I153" s="14">
        <f t="shared" si="81"/>
        <v>65</v>
      </c>
    </row>
    <row r="154" spans="1:9" ht="55.5" customHeight="1" x14ac:dyDescent="0.25">
      <c r="A154" s="18">
        <f t="shared" si="50"/>
        <v>143</v>
      </c>
      <c r="B154" s="16" t="s">
        <v>33</v>
      </c>
      <c r="C154" s="17" t="s">
        <v>14</v>
      </c>
      <c r="D154" s="17" t="s">
        <v>133</v>
      </c>
      <c r="E154" s="17" t="s">
        <v>152</v>
      </c>
      <c r="F154" s="17" t="s">
        <v>34</v>
      </c>
      <c r="G154" s="14">
        <v>65</v>
      </c>
      <c r="H154" s="14">
        <v>65</v>
      </c>
      <c r="I154" s="14">
        <v>65</v>
      </c>
    </row>
    <row r="155" spans="1:9" ht="108" x14ac:dyDescent="0.25">
      <c r="A155" s="18">
        <f t="shared" si="50"/>
        <v>144</v>
      </c>
      <c r="B155" s="16" t="s">
        <v>153</v>
      </c>
      <c r="C155" s="17" t="s">
        <v>14</v>
      </c>
      <c r="D155" s="17" t="s">
        <v>133</v>
      </c>
      <c r="E155" s="17" t="s">
        <v>154</v>
      </c>
      <c r="F155" s="17"/>
      <c r="G155" s="14">
        <f>SUM(G156)</f>
        <v>597.48</v>
      </c>
      <c r="H155" s="14">
        <f t="shared" ref="H155:I155" si="82">SUM(H156)</f>
        <v>20</v>
      </c>
      <c r="I155" s="14">
        <f t="shared" si="82"/>
        <v>20</v>
      </c>
    </row>
    <row r="156" spans="1:9" ht="108" x14ac:dyDescent="0.25">
      <c r="A156" s="18">
        <f t="shared" si="50"/>
        <v>145</v>
      </c>
      <c r="B156" s="16" t="s">
        <v>155</v>
      </c>
      <c r="C156" s="17" t="s">
        <v>14</v>
      </c>
      <c r="D156" s="17" t="s">
        <v>133</v>
      </c>
      <c r="E156" s="17" t="s">
        <v>156</v>
      </c>
      <c r="F156" s="17"/>
      <c r="G156" s="14">
        <f>SUM(G157:G158)</f>
        <v>597.48</v>
      </c>
      <c r="H156" s="14">
        <f t="shared" ref="H156:I156" si="83">SUM(H157:H158)</f>
        <v>20</v>
      </c>
      <c r="I156" s="14">
        <f t="shared" si="83"/>
        <v>20</v>
      </c>
    </row>
    <row r="157" spans="1:9" ht="55.5" customHeight="1" x14ac:dyDescent="0.25">
      <c r="A157" s="18">
        <f t="shared" si="50"/>
        <v>146</v>
      </c>
      <c r="B157" s="16" t="s">
        <v>33</v>
      </c>
      <c r="C157" s="17" t="s">
        <v>14</v>
      </c>
      <c r="D157" s="17" t="s">
        <v>133</v>
      </c>
      <c r="E157" s="17" t="s">
        <v>156</v>
      </c>
      <c r="F157" s="17" t="s">
        <v>34</v>
      </c>
      <c r="G157" s="14">
        <f>63-30.22</f>
        <v>32.78</v>
      </c>
      <c r="H157" s="14">
        <v>20</v>
      </c>
      <c r="I157" s="14">
        <v>20</v>
      </c>
    </row>
    <row r="158" spans="1:9" ht="36" x14ac:dyDescent="0.25">
      <c r="A158" s="18">
        <f t="shared" si="50"/>
        <v>147</v>
      </c>
      <c r="B158" s="16" t="s">
        <v>157</v>
      </c>
      <c r="C158" s="17" t="s">
        <v>14</v>
      </c>
      <c r="D158" s="17" t="s">
        <v>133</v>
      </c>
      <c r="E158" s="17" t="s">
        <v>156</v>
      </c>
      <c r="F158" s="17" t="s">
        <v>158</v>
      </c>
      <c r="G158" s="14">
        <f>737-172.3</f>
        <v>564.70000000000005</v>
      </c>
      <c r="H158" s="14">
        <v>0</v>
      </c>
      <c r="I158" s="14">
        <v>0</v>
      </c>
    </row>
    <row r="159" spans="1:9" ht="20.25" customHeight="1" x14ac:dyDescent="0.25">
      <c r="A159" s="19">
        <f t="shared" si="50"/>
        <v>148</v>
      </c>
      <c r="B159" s="20" t="s">
        <v>159</v>
      </c>
      <c r="C159" s="21" t="s">
        <v>14</v>
      </c>
      <c r="D159" s="21" t="s">
        <v>160</v>
      </c>
      <c r="E159" s="21"/>
      <c r="F159" s="21"/>
      <c r="G159" s="13">
        <f>SUM(G160+G179+G192+G199+G236+G243+G187)</f>
        <v>331714.92000000004</v>
      </c>
      <c r="H159" s="13">
        <f t="shared" ref="H159:I159" si="84">SUM(H160+H179+H192+H199+H236+H243+H187)</f>
        <v>108973.43000000001</v>
      </c>
      <c r="I159" s="13">
        <f t="shared" si="84"/>
        <v>79112.990000000005</v>
      </c>
    </row>
    <row r="160" spans="1:9" ht="36" x14ac:dyDescent="0.25">
      <c r="A160" s="19">
        <f t="shared" si="50"/>
        <v>149</v>
      </c>
      <c r="B160" s="20" t="s">
        <v>161</v>
      </c>
      <c r="C160" s="21" t="s">
        <v>14</v>
      </c>
      <c r="D160" s="21" t="s">
        <v>162</v>
      </c>
      <c r="E160" s="21"/>
      <c r="F160" s="21"/>
      <c r="G160" s="13">
        <f>SUM(G161+G173+G169)</f>
        <v>2250.89</v>
      </c>
      <c r="H160" s="13">
        <f t="shared" ref="H160:I160" si="85">SUM(H161+H173+H169)</f>
        <v>1891.5</v>
      </c>
      <c r="I160" s="13">
        <f t="shared" si="85"/>
        <v>1891.5</v>
      </c>
    </row>
    <row r="161" spans="1:9" ht="94.5" customHeight="1" x14ac:dyDescent="0.25">
      <c r="A161" s="18">
        <f t="shared" si="50"/>
        <v>150</v>
      </c>
      <c r="B161" s="16" t="s">
        <v>163</v>
      </c>
      <c r="C161" s="17" t="s">
        <v>14</v>
      </c>
      <c r="D161" s="17" t="s">
        <v>162</v>
      </c>
      <c r="E161" s="17" t="s">
        <v>164</v>
      </c>
      <c r="F161" s="17"/>
      <c r="G161" s="14">
        <f>SUM(G162)</f>
        <v>1833</v>
      </c>
      <c r="H161" s="14">
        <f t="shared" ref="H161:I161" si="86">SUM(H162)</f>
        <v>1833</v>
      </c>
      <c r="I161" s="14">
        <f t="shared" si="86"/>
        <v>1833</v>
      </c>
    </row>
    <row r="162" spans="1:9" ht="39.75" customHeight="1" x14ac:dyDescent="0.25">
      <c r="A162" s="18">
        <f t="shared" si="50"/>
        <v>151</v>
      </c>
      <c r="B162" s="16" t="s">
        <v>165</v>
      </c>
      <c r="C162" s="17" t="s">
        <v>14</v>
      </c>
      <c r="D162" s="17" t="s">
        <v>162</v>
      </c>
      <c r="E162" s="17" t="s">
        <v>166</v>
      </c>
      <c r="F162" s="17"/>
      <c r="G162" s="14">
        <f>SUM(G163+G166)</f>
        <v>1833</v>
      </c>
      <c r="H162" s="14">
        <f t="shared" ref="H162:I162" si="87">SUM(H163+H166)</f>
        <v>1833</v>
      </c>
      <c r="I162" s="14">
        <f t="shared" si="87"/>
        <v>1833</v>
      </c>
    </row>
    <row r="163" spans="1:9" ht="94.5" customHeight="1" x14ac:dyDescent="0.25">
      <c r="A163" s="18">
        <f t="shared" si="50"/>
        <v>152</v>
      </c>
      <c r="B163" s="16" t="s">
        <v>167</v>
      </c>
      <c r="C163" s="17" t="s">
        <v>14</v>
      </c>
      <c r="D163" s="17" t="s">
        <v>162</v>
      </c>
      <c r="E163" s="17" t="s">
        <v>168</v>
      </c>
      <c r="F163" s="17"/>
      <c r="G163" s="14">
        <f>SUM(G164:G165)</f>
        <v>1554.7</v>
      </c>
      <c r="H163" s="14">
        <f t="shared" ref="H163:I163" si="88">SUM(H164:H165)</f>
        <v>1554.7</v>
      </c>
      <c r="I163" s="14">
        <f t="shared" si="88"/>
        <v>1554.7</v>
      </c>
    </row>
    <row r="164" spans="1:9" ht="55.5" customHeight="1" x14ac:dyDescent="0.25">
      <c r="A164" s="18">
        <f t="shared" si="50"/>
        <v>153</v>
      </c>
      <c r="B164" s="16" t="s">
        <v>25</v>
      </c>
      <c r="C164" s="17" t="s">
        <v>14</v>
      </c>
      <c r="D164" s="17" t="s">
        <v>162</v>
      </c>
      <c r="E164" s="17" t="s">
        <v>168</v>
      </c>
      <c r="F164" s="17" t="s">
        <v>26</v>
      </c>
      <c r="G164" s="14">
        <v>88</v>
      </c>
      <c r="H164" s="14">
        <v>88</v>
      </c>
      <c r="I164" s="14">
        <v>88</v>
      </c>
    </row>
    <row r="165" spans="1:9" ht="60" customHeight="1" x14ac:dyDescent="0.25">
      <c r="A165" s="18">
        <f t="shared" si="50"/>
        <v>154</v>
      </c>
      <c r="B165" s="16" t="s">
        <v>33</v>
      </c>
      <c r="C165" s="17" t="s">
        <v>14</v>
      </c>
      <c r="D165" s="17" t="s">
        <v>162</v>
      </c>
      <c r="E165" s="17" t="s">
        <v>168</v>
      </c>
      <c r="F165" s="17" t="s">
        <v>34</v>
      </c>
      <c r="G165" s="14">
        <v>1466.7</v>
      </c>
      <c r="H165" s="14">
        <v>1466.7</v>
      </c>
      <c r="I165" s="14">
        <v>1466.7</v>
      </c>
    </row>
    <row r="166" spans="1:9" ht="94.5" customHeight="1" x14ac:dyDescent="0.25">
      <c r="A166" s="18">
        <f t="shared" si="50"/>
        <v>155</v>
      </c>
      <c r="B166" s="16" t="s">
        <v>169</v>
      </c>
      <c r="C166" s="17" t="s">
        <v>14</v>
      </c>
      <c r="D166" s="17" t="s">
        <v>162</v>
      </c>
      <c r="E166" s="17" t="s">
        <v>170</v>
      </c>
      <c r="F166" s="17"/>
      <c r="G166" s="14">
        <f>SUM(G167:G168)</f>
        <v>278.3</v>
      </c>
      <c r="H166" s="14">
        <f t="shared" ref="H166:I166" si="89">SUM(H167:H168)</f>
        <v>278.3</v>
      </c>
      <c r="I166" s="14">
        <f t="shared" si="89"/>
        <v>278.3</v>
      </c>
    </row>
    <row r="167" spans="1:9" ht="57.75" customHeight="1" x14ac:dyDescent="0.25">
      <c r="A167" s="18">
        <f t="shared" si="50"/>
        <v>156</v>
      </c>
      <c r="B167" s="16" t="s">
        <v>25</v>
      </c>
      <c r="C167" s="17" t="s">
        <v>14</v>
      </c>
      <c r="D167" s="17" t="s">
        <v>162</v>
      </c>
      <c r="E167" s="17" t="s">
        <v>170</v>
      </c>
      <c r="F167" s="17" t="s">
        <v>26</v>
      </c>
      <c r="G167" s="14">
        <v>15.7</v>
      </c>
      <c r="H167" s="14">
        <v>15.7</v>
      </c>
      <c r="I167" s="14">
        <v>15.7</v>
      </c>
    </row>
    <row r="168" spans="1:9" ht="61.5" customHeight="1" x14ac:dyDescent="0.25">
      <c r="A168" s="18">
        <f t="shared" si="50"/>
        <v>157</v>
      </c>
      <c r="B168" s="16" t="s">
        <v>33</v>
      </c>
      <c r="C168" s="17" t="s">
        <v>14</v>
      </c>
      <c r="D168" s="17" t="s">
        <v>162</v>
      </c>
      <c r="E168" s="17" t="s">
        <v>170</v>
      </c>
      <c r="F168" s="17" t="s">
        <v>34</v>
      </c>
      <c r="G168" s="14">
        <v>262.60000000000002</v>
      </c>
      <c r="H168" s="14">
        <v>262.60000000000002</v>
      </c>
      <c r="I168" s="14">
        <v>262.60000000000002</v>
      </c>
    </row>
    <row r="169" spans="1:9" ht="133.5" customHeight="1" x14ac:dyDescent="0.25">
      <c r="A169" s="18">
        <f t="shared" si="50"/>
        <v>158</v>
      </c>
      <c r="B169" s="16" t="s">
        <v>64</v>
      </c>
      <c r="C169" s="17" t="s">
        <v>14</v>
      </c>
      <c r="D169" s="17" t="s">
        <v>162</v>
      </c>
      <c r="E169" s="17" t="s">
        <v>65</v>
      </c>
      <c r="F169" s="17"/>
      <c r="G169" s="14">
        <f>SUM(G170)</f>
        <v>359.39</v>
      </c>
      <c r="H169" s="14">
        <f t="shared" ref="H169:I169" si="90">SUM(H170)</f>
        <v>0</v>
      </c>
      <c r="I169" s="14">
        <f t="shared" si="90"/>
        <v>0</v>
      </c>
    </row>
    <row r="170" spans="1:9" ht="72" x14ac:dyDescent="0.25">
      <c r="A170" s="18">
        <f t="shared" ref="A170:A173" si="91">SUM(A169+1)</f>
        <v>159</v>
      </c>
      <c r="B170" s="16" t="s">
        <v>253</v>
      </c>
      <c r="C170" s="17" t="s">
        <v>14</v>
      </c>
      <c r="D170" s="17" t="s">
        <v>162</v>
      </c>
      <c r="E170" s="17" t="s">
        <v>254</v>
      </c>
      <c r="F170" s="17"/>
      <c r="G170" s="14">
        <f>SUM(G171)</f>
        <v>359.39</v>
      </c>
      <c r="H170" s="14">
        <f t="shared" ref="H170:I170" si="92">SUM(H171)</f>
        <v>0</v>
      </c>
      <c r="I170" s="14">
        <f t="shared" si="92"/>
        <v>0</v>
      </c>
    </row>
    <row r="171" spans="1:9" ht="200.25" customHeight="1" x14ac:dyDescent="0.25">
      <c r="A171" s="18">
        <f t="shared" si="91"/>
        <v>160</v>
      </c>
      <c r="B171" s="16" t="s">
        <v>255</v>
      </c>
      <c r="C171" s="17" t="s">
        <v>14</v>
      </c>
      <c r="D171" s="17" t="s">
        <v>162</v>
      </c>
      <c r="E171" s="17" t="s">
        <v>256</v>
      </c>
      <c r="F171" s="17"/>
      <c r="G171" s="14">
        <f>SUM(G172)</f>
        <v>359.39</v>
      </c>
      <c r="H171" s="14">
        <f t="shared" ref="H171:I171" si="93">SUM(H172)</f>
        <v>0</v>
      </c>
      <c r="I171" s="14">
        <f t="shared" si="93"/>
        <v>0</v>
      </c>
    </row>
    <row r="172" spans="1:9" ht="61.5" customHeight="1" x14ac:dyDescent="0.25">
      <c r="A172" s="18">
        <f t="shared" si="91"/>
        <v>161</v>
      </c>
      <c r="B172" s="16" t="s">
        <v>33</v>
      </c>
      <c r="C172" s="17" t="s">
        <v>14</v>
      </c>
      <c r="D172" s="17" t="s">
        <v>162</v>
      </c>
      <c r="E172" s="17" t="s">
        <v>256</v>
      </c>
      <c r="F172" s="17">
        <v>240</v>
      </c>
      <c r="G172" s="14">
        <v>359.39</v>
      </c>
      <c r="H172" s="14">
        <v>0</v>
      </c>
      <c r="I172" s="14">
        <v>0</v>
      </c>
    </row>
    <row r="173" spans="1:9" ht="78.75" customHeight="1" x14ac:dyDescent="0.25">
      <c r="A173" s="18">
        <f t="shared" si="91"/>
        <v>162</v>
      </c>
      <c r="B173" s="16" t="s">
        <v>171</v>
      </c>
      <c r="C173" s="17" t="s">
        <v>14</v>
      </c>
      <c r="D173" s="17" t="s">
        <v>162</v>
      </c>
      <c r="E173" s="17" t="s">
        <v>172</v>
      </c>
      <c r="F173" s="17"/>
      <c r="G173" s="14">
        <f>SUM(G174)</f>
        <v>58.5</v>
      </c>
      <c r="H173" s="14">
        <f t="shared" ref="H173:I173" si="94">SUM(H174)</f>
        <v>58.5</v>
      </c>
      <c r="I173" s="14">
        <f t="shared" si="94"/>
        <v>58.5</v>
      </c>
    </row>
    <row r="174" spans="1:9" ht="71.25" customHeight="1" x14ac:dyDescent="0.25">
      <c r="A174" s="18">
        <f t="shared" ref="A174:A246" si="95">SUM(A173+1)</f>
        <v>163</v>
      </c>
      <c r="B174" s="16" t="s">
        <v>173</v>
      </c>
      <c r="C174" s="17" t="s">
        <v>14</v>
      </c>
      <c r="D174" s="17" t="s">
        <v>162</v>
      </c>
      <c r="E174" s="17" t="s">
        <v>174</v>
      </c>
      <c r="F174" s="17"/>
      <c r="G174" s="14">
        <f>SUM(G175+G177)</f>
        <v>58.5</v>
      </c>
      <c r="H174" s="14">
        <f t="shared" ref="H174:I174" si="96">SUM(H175+H177)</f>
        <v>58.5</v>
      </c>
      <c r="I174" s="14">
        <f t="shared" si="96"/>
        <v>58.5</v>
      </c>
    </row>
    <row r="175" spans="1:9" ht="42.75" customHeight="1" x14ac:dyDescent="0.25">
      <c r="A175" s="18">
        <f t="shared" si="95"/>
        <v>164</v>
      </c>
      <c r="B175" s="16" t="s">
        <v>175</v>
      </c>
      <c r="C175" s="17" t="s">
        <v>14</v>
      </c>
      <c r="D175" s="17" t="s">
        <v>162</v>
      </c>
      <c r="E175" s="17" t="s">
        <v>176</v>
      </c>
      <c r="F175" s="17"/>
      <c r="G175" s="14">
        <f>SUM(G176)</f>
        <v>57</v>
      </c>
      <c r="H175" s="14">
        <f t="shared" ref="H175:I175" si="97">SUM(H176)</f>
        <v>57</v>
      </c>
      <c r="I175" s="14">
        <f t="shared" si="97"/>
        <v>57</v>
      </c>
    </row>
    <row r="176" spans="1:9" ht="26.25" customHeight="1" x14ac:dyDescent="0.25">
      <c r="A176" s="18">
        <f t="shared" si="95"/>
        <v>165</v>
      </c>
      <c r="B176" s="16" t="s">
        <v>177</v>
      </c>
      <c r="C176" s="17" t="s">
        <v>14</v>
      </c>
      <c r="D176" s="17" t="s">
        <v>162</v>
      </c>
      <c r="E176" s="17" t="s">
        <v>176</v>
      </c>
      <c r="F176" s="17" t="s">
        <v>178</v>
      </c>
      <c r="G176" s="14">
        <v>57</v>
      </c>
      <c r="H176" s="14">
        <v>57</v>
      </c>
      <c r="I176" s="14">
        <v>57</v>
      </c>
    </row>
    <row r="177" spans="1:9" ht="57.75" customHeight="1" x14ac:dyDescent="0.25">
      <c r="A177" s="18">
        <f t="shared" si="95"/>
        <v>166</v>
      </c>
      <c r="B177" s="16" t="s">
        <v>179</v>
      </c>
      <c r="C177" s="17" t="s">
        <v>14</v>
      </c>
      <c r="D177" s="17" t="s">
        <v>162</v>
      </c>
      <c r="E177" s="17" t="s">
        <v>180</v>
      </c>
      <c r="F177" s="17"/>
      <c r="G177" s="14">
        <f>SUM(G178)</f>
        <v>1.5</v>
      </c>
      <c r="H177" s="14">
        <f t="shared" ref="H177:I177" si="98">SUM(H178)</f>
        <v>1.5</v>
      </c>
      <c r="I177" s="14">
        <f t="shared" si="98"/>
        <v>1.5</v>
      </c>
    </row>
    <row r="178" spans="1:9" ht="61.5" customHeight="1" x14ac:dyDescent="0.25">
      <c r="A178" s="18">
        <f t="shared" si="95"/>
        <v>167</v>
      </c>
      <c r="B178" s="16" t="s">
        <v>33</v>
      </c>
      <c r="C178" s="17" t="s">
        <v>14</v>
      </c>
      <c r="D178" s="17" t="s">
        <v>162</v>
      </c>
      <c r="E178" s="17" t="s">
        <v>180</v>
      </c>
      <c r="F178" s="17" t="s">
        <v>34</v>
      </c>
      <c r="G178" s="14">
        <v>1.5</v>
      </c>
      <c r="H178" s="14">
        <v>1.5</v>
      </c>
      <c r="I178" s="14">
        <v>1.5</v>
      </c>
    </row>
    <row r="179" spans="1:9" ht="19.5" customHeight="1" x14ac:dyDescent="0.25">
      <c r="A179" s="19">
        <f t="shared" si="95"/>
        <v>168</v>
      </c>
      <c r="B179" s="20" t="s">
        <v>181</v>
      </c>
      <c r="C179" s="21" t="s">
        <v>14</v>
      </c>
      <c r="D179" s="21" t="s">
        <v>182</v>
      </c>
      <c r="E179" s="21"/>
      <c r="F179" s="21"/>
      <c r="G179" s="13">
        <f>SUM(G180+G184)</f>
        <v>2245.2000000000003</v>
      </c>
      <c r="H179" s="13">
        <f t="shared" ref="H179:I179" si="99">SUM(H180)</f>
        <v>2257.5300000000002</v>
      </c>
      <c r="I179" s="13">
        <f t="shared" si="99"/>
        <v>2302.89</v>
      </c>
    </row>
    <row r="180" spans="1:9" ht="75.75" customHeight="1" x14ac:dyDescent="0.25">
      <c r="A180" s="18">
        <f t="shared" si="95"/>
        <v>169</v>
      </c>
      <c r="B180" s="16" t="s">
        <v>94</v>
      </c>
      <c r="C180" s="17" t="s">
        <v>14</v>
      </c>
      <c r="D180" s="17" t="s">
        <v>182</v>
      </c>
      <c r="E180" s="17" t="s">
        <v>95</v>
      </c>
      <c r="F180" s="17"/>
      <c r="G180" s="14">
        <f>SUM(G181)</f>
        <v>2218.42</v>
      </c>
      <c r="H180" s="14">
        <f t="shared" ref="H180:I180" si="100">SUM(H181)</f>
        <v>2257.5300000000002</v>
      </c>
      <c r="I180" s="14">
        <f t="shared" si="100"/>
        <v>2302.89</v>
      </c>
    </row>
    <row r="181" spans="1:9" ht="74.25" customHeight="1" x14ac:dyDescent="0.25">
      <c r="A181" s="18">
        <f t="shared" si="95"/>
        <v>170</v>
      </c>
      <c r="B181" s="16" t="s">
        <v>128</v>
      </c>
      <c r="C181" s="17" t="s">
        <v>14</v>
      </c>
      <c r="D181" s="17" t="s">
        <v>182</v>
      </c>
      <c r="E181" s="17" t="s">
        <v>129</v>
      </c>
      <c r="F181" s="17"/>
      <c r="G181" s="14">
        <f>SUM(G182)</f>
        <v>2218.42</v>
      </c>
      <c r="H181" s="14">
        <f t="shared" ref="H181:I181" si="101">SUM(H182)</f>
        <v>2257.5300000000002</v>
      </c>
      <c r="I181" s="14">
        <f t="shared" si="101"/>
        <v>2302.89</v>
      </c>
    </row>
    <row r="182" spans="1:9" ht="75.75" customHeight="1" x14ac:dyDescent="0.25">
      <c r="A182" s="18">
        <f t="shared" si="95"/>
        <v>171</v>
      </c>
      <c r="B182" s="16" t="s">
        <v>183</v>
      </c>
      <c r="C182" s="17" t="s">
        <v>14</v>
      </c>
      <c r="D182" s="17" t="s">
        <v>182</v>
      </c>
      <c r="E182" s="17" t="s">
        <v>184</v>
      </c>
      <c r="F182" s="17"/>
      <c r="G182" s="14">
        <f>SUM(G183)</f>
        <v>2218.42</v>
      </c>
      <c r="H182" s="14">
        <f t="shared" ref="H182:I182" si="102">SUM(H183)</f>
        <v>2257.5300000000002</v>
      </c>
      <c r="I182" s="14">
        <f t="shared" si="102"/>
        <v>2302.89</v>
      </c>
    </row>
    <row r="183" spans="1:9" ht="36" x14ac:dyDescent="0.25">
      <c r="A183" s="18">
        <f t="shared" si="95"/>
        <v>172</v>
      </c>
      <c r="B183" s="16" t="s">
        <v>157</v>
      </c>
      <c r="C183" s="17" t="s">
        <v>14</v>
      </c>
      <c r="D183" s="17" t="s">
        <v>182</v>
      </c>
      <c r="E183" s="17" t="s">
        <v>184</v>
      </c>
      <c r="F183" s="17" t="s">
        <v>158</v>
      </c>
      <c r="G183" s="14">
        <v>2218.42</v>
      </c>
      <c r="H183" s="14">
        <v>2257.5300000000002</v>
      </c>
      <c r="I183" s="14">
        <v>2302.89</v>
      </c>
    </row>
    <row r="184" spans="1:9" ht="18" x14ac:dyDescent="0.25">
      <c r="A184" s="18">
        <f t="shared" si="95"/>
        <v>173</v>
      </c>
      <c r="B184" s="16" t="s">
        <v>811</v>
      </c>
      <c r="C184" s="17" t="s">
        <v>14</v>
      </c>
      <c r="D184" s="17" t="s">
        <v>182</v>
      </c>
      <c r="E184" s="27" t="s">
        <v>45</v>
      </c>
      <c r="F184" s="17"/>
      <c r="G184" s="14">
        <f>SUM(G185)</f>
        <v>26.78</v>
      </c>
      <c r="H184" s="14">
        <f t="shared" ref="H184:I184" si="103">SUM(H185)</f>
        <v>0</v>
      </c>
      <c r="I184" s="14">
        <f t="shared" si="103"/>
        <v>0</v>
      </c>
    </row>
    <row r="185" spans="1:9" ht="144" x14ac:dyDescent="0.25">
      <c r="A185" s="18">
        <f t="shared" si="95"/>
        <v>174</v>
      </c>
      <c r="B185" s="16" t="s">
        <v>886</v>
      </c>
      <c r="C185" s="17" t="s">
        <v>14</v>
      </c>
      <c r="D185" s="17" t="s">
        <v>182</v>
      </c>
      <c r="E185" s="27" t="s">
        <v>882</v>
      </c>
      <c r="F185" s="17"/>
      <c r="G185" s="14">
        <f>SUM(G186)</f>
        <v>26.78</v>
      </c>
      <c r="H185" s="14">
        <f t="shared" ref="H185:I185" si="104">SUM(H186)</f>
        <v>0</v>
      </c>
      <c r="I185" s="14">
        <f t="shared" si="104"/>
        <v>0</v>
      </c>
    </row>
    <row r="186" spans="1:9" ht="36" x14ac:dyDescent="0.25">
      <c r="A186" s="18">
        <f t="shared" si="95"/>
        <v>175</v>
      </c>
      <c r="B186" s="16" t="s">
        <v>157</v>
      </c>
      <c r="C186" s="17" t="s">
        <v>14</v>
      </c>
      <c r="D186" s="17" t="s">
        <v>182</v>
      </c>
      <c r="E186" s="27" t="s">
        <v>882</v>
      </c>
      <c r="F186" s="17">
        <v>610</v>
      </c>
      <c r="G186" s="14">
        <v>26.78</v>
      </c>
      <c r="H186" s="14">
        <v>0</v>
      </c>
      <c r="I186" s="14">
        <v>0</v>
      </c>
    </row>
    <row r="187" spans="1:9" s="26" customFormat="1" ht="18" x14ac:dyDescent="0.25">
      <c r="A187" s="19">
        <f t="shared" si="95"/>
        <v>176</v>
      </c>
      <c r="B187" s="20" t="s">
        <v>794</v>
      </c>
      <c r="C187" s="21">
        <v>901</v>
      </c>
      <c r="D187" s="28" t="s">
        <v>793</v>
      </c>
      <c r="E187" s="21"/>
      <c r="F187" s="21"/>
      <c r="G187" s="13">
        <f>SUM(G188)</f>
        <v>300</v>
      </c>
      <c r="H187" s="13">
        <f t="shared" ref="H187:I187" si="105">SUM(H188)</f>
        <v>0</v>
      </c>
      <c r="I187" s="13">
        <f t="shared" si="105"/>
        <v>0</v>
      </c>
    </row>
    <row r="188" spans="1:9" ht="135" customHeight="1" x14ac:dyDescent="0.25">
      <c r="A188" s="18">
        <f t="shared" si="95"/>
        <v>177</v>
      </c>
      <c r="B188" s="16" t="s">
        <v>64</v>
      </c>
      <c r="C188" s="17" t="s">
        <v>14</v>
      </c>
      <c r="D188" s="27" t="s">
        <v>793</v>
      </c>
      <c r="E188" s="17" t="s">
        <v>65</v>
      </c>
      <c r="F188" s="17"/>
      <c r="G188" s="14">
        <f>SUM(G189)</f>
        <v>300</v>
      </c>
      <c r="H188" s="14">
        <f t="shared" ref="H188:I188" si="106">SUM(H189)</f>
        <v>0</v>
      </c>
      <c r="I188" s="14">
        <f t="shared" si="106"/>
        <v>0</v>
      </c>
    </row>
    <row r="189" spans="1:9" ht="72" x14ac:dyDescent="0.25">
      <c r="A189" s="18">
        <f t="shared" si="95"/>
        <v>178</v>
      </c>
      <c r="B189" s="16" t="s">
        <v>253</v>
      </c>
      <c r="C189" s="17" t="s">
        <v>14</v>
      </c>
      <c r="D189" s="27" t="s">
        <v>793</v>
      </c>
      <c r="E189" s="17" t="s">
        <v>254</v>
      </c>
      <c r="F189" s="17"/>
      <c r="G189" s="14">
        <f>SUM(G190)</f>
        <v>300</v>
      </c>
      <c r="H189" s="14">
        <f t="shared" ref="H189:I189" si="107">SUM(H190)</f>
        <v>0</v>
      </c>
      <c r="I189" s="14">
        <f t="shared" si="107"/>
        <v>0</v>
      </c>
    </row>
    <row r="190" spans="1:9" ht="216" x14ac:dyDescent="0.25">
      <c r="A190" s="18">
        <f t="shared" si="95"/>
        <v>179</v>
      </c>
      <c r="B190" s="16" t="s">
        <v>255</v>
      </c>
      <c r="C190" s="17" t="s">
        <v>14</v>
      </c>
      <c r="D190" s="27" t="s">
        <v>793</v>
      </c>
      <c r="E190" s="17" t="s">
        <v>256</v>
      </c>
      <c r="F190" s="17"/>
      <c r="G190" s="14">
        <f>SUM(G191)</f>
        <v>300</v>
      </c>
      <c r="H190" s="14">
        <f t="shared" ref="H190:I190" si="108">SUM(H191)</f>
        <v>0</v>
      </c>
      <c r="I190" s="14">
        <f t="shared" si="108"/>
        <v>0</v>
      </c>
    </row>
    <row r="191" spans="1:9" ht="72" x14ac:dyDescent="0.25">
      <c r="A191" s="18">
        <f t="shared" si="95"/>
        <v>180</v>
      </c>
      <c r="B191" s="16" t="s">
        <v>33</v>
      </c>
      <c r="C191" s="17" t="s">
        <v>14</v>
      </c>
      <c r="D191" s="27" t="s">
        <v>793</v>
      </c>
      <c r="E191" s="17" t="s">
        <v>256</v>
      </c>
      <c r="F191" s="17">
        <v>240</v>
      </c>
      <c r="G191" s="14">
        <v>300</v>
      </c>
      <c r="H191" s="14">
        <v>0</v>
      </c>
      <c r="I191" s="14">
        <v>0</v>
      </c>
    </row>
    <row r="192" spans="1:9" ht="18" x14ac:dyDescent="0.25">
      <c r="A192" s="19">
        <f t="shared" si="95"/>
        <v>181</v>
      </c>
      <c r="B192" s="20" t="s">
        <v>185</v>
      </c>
      <c r="C192" s="21" t="s">
        <v>14</v>
      </c>
      <c r="D192" s="21" t="s">
        <v>186</v>
      </c>
      <c r="E192" s="21"/>
      <c r="F192" s="21"/>
      <c r="G192" s="13">
        <f>SUM(G193)</f>
        <v>2822.06</v>
      </c>
      <c r="H192" s="13">
        <f t="shared" ref="H192:I192" si="109">SUM(H193)</f>
        <v>2782.1</v>
      </c>
      <c r="I192" s="13">
        <f t="shared" si="109"/>
        <v>2782.1</v>
      </c>
    </row>
    <row r="193" spans="1:9" ht="90" x14ac:dyDescent="0.25">
      <c r="A193" s="18">
        <f t="shared" si="95"/>
        <v>182</v>
      </c>
      <c r="B193" s="16" t="s">
        <v>187</v>
      </c>
      <c r="C193" s="17" t="s">
        <v>14</v>
      </c>
      <c r="D193" s="17" t="s">
        <v>186</v>
      </c>
      <c r="E193" s="17" t="s">
        <v>188</v>
      </c>
      <c r="F193" s="17"/>
      <c r="G193" s="14">
        <f>SUM(G194)</f>
        <v>2822.06</v>
      </c>
      <c r="H193" s="14">
        <f t="shared" ref="H193:I193" si="110">SUM(H194)</f>
        <v>2782.1</v>
      </c>
      <c r="I193" s="14">
        <f t="shared" si="110"/>
        <v>2782.1</v>
      </c>
    </row>
    <row r="194" spans="1:9" ht="54" x14ac:dyDescent="0.25">
      <c r="A194" s="18">
        <f t="shared" si="95"/>
        <v>183</v>
      </c>
      <c r="B194" s="16" t="s">
        <v>189</v>
      </c>
      <c r="C194" s="17" t="s">
        <v>14</v>
      </c>
      <c r="D194" s="17" t="s">
        <v>186</v>
      </c>
      <c r="E194" s="17" t="s">
        <v>190</v>
      </c>
      <c r="F194" s="17"/>
      <c r="G194" s="14">
        <f>SUM(G195+G197)</f>
        <v>2822.06</v>
      </c>
      <c r="H194" s="14">
        <f t="shared" ref="H194:I194" si="111">SUM(H195+H197)</f>
        <v>2782.1</v>
      </c>
      <c r="I194" s="14">
        <f t="shared" si="111"/>
        <v>2782.1</v>
      </c>
    </row>
    <row r="195" spans="1:9" ht="54" x14ac:dyDescent="0.25">
      <c r="A195" s="18">
        <f t="shared" si="95"/>
        <v>184</v>
      </c>
      <c r="B195" s="16" t="s">
        <v>191</v>
      </c>
      <c r="C195" s="17" t="s">
        <v>14</v>
      </c>
      <c r="D195" s="17" t="s">
        <v>186</v>
      </c>
      <c r="E195" s="17" t="s">
        <v>192</v>
      </c>
      <c r="F195" s="17"/>
      <c r="G195" s="14">
        <f>SUM(G196)</f>
        <v>69.960000000000008</v>
      </c>
      <c r="H195" s="14">
        <f t="shared" ref="H195:I195" si="112">SUM(H196)</f>
        <v>30</v>
      </c>
      <c r="I195" s="14">
        <f t="shared" si="112"/>
        <v>30</v>
      </c>
    </row>
    <row r="196" spans="1:9" ht="58.5" customHeight="1" x14ac:dyDescent="0.25">
      <c r="A196" s="18">
        <f t="shared" si="95"/>
        <v>185</v>
      </c>
      <c r="B196" s="16" t="s">
        <v>33</v>
      </c>
      <c r="C196" s="17" t="s">
        <v>14</v>
      </c>
      <c r="D196" s="17" t="s">
        <v>186</v>
      </c>
      <c r="E196" s="17" t="s">
        <v>192</v>
      </c>
      <c r="F196" s="17" t="s">
        <v>34</v>
      </c>
      <c r="G196" s="14">
        <f>30+39.96</f>
        <v>69.960000000000008</v>
      </c>
      <c r="H196" s="14">
        <v>30</v>
      </c>
      <c r="I196" s="14">
        <v>30</v>
      </c>
    </row>
    <row r="197" spans="1:9" ht="94.5" customHeight="1" x14ac:dyDescent="0.25">
      <c r="A197" s="18">
        <f t="shared" si="95"/>
        <v>186</v>
      </c>
      <c r="B197" s="16" t="s">
        <v>193</v>
      </c>
      <c r="C197" s="17" t="s">
        <v>14</v>
      </c>
      <c r="D197" s="17" t="s">
        <v>186</v>
      </c>
      <c r="E197" s="17" t="s">
        <v>194</v>
      </c>
      <c r="F197" s="17"/>
      <c r="G197" s="14">
        <f>SUM(G198)</f>
        <v>2752.1</v>
      </c>
      <c r="H197" s="14">
        <f t="shared" ref="H197:I197" si="113">SUM(H198)</f>
        <v>2752.1</v>
      </c>
      <c r="I197" s="14">
        <f t="shared" si="113"/>
        <v>2752.1</v>
      </c>
    </row>
    <row r="198" spans="1:9" ht="57" customHeight="1" x14ac:dyDescent="0.25">
      <c r="A198" s="18">
        <f t="shared" si="95"/>
        <v>187</v>
      </c>
      <c r="B198" s="16" t="s">
        <v>33</v>
      </c>
      <c r="C198" s="17" t="s">
        <v>14</v>
      </c>
      <c r="D198" s="17" t="s">
        <v>186</v>
      </c>
      <c r="E198" s="17" t="s">
        <v>194</v>
      </c>
      <c r="F198" s="17" t="s">
        <v>34</v>
      </c>
      <c r="G198" s="14">
        <v>2752.1</v>
      </c>
      <c r="H198" s="14">
        <v>2752.1</v>
      </c>
      <c r="I198" s="14">
        <v>2752.1</v>
      </c>
    </row>
    <row r="199" spans="1:9" ht="36" x14ac:dyDescent="0.25">
      <c r="A199" s="19">
        <f t="shared" si="95"/>
        <v>188</v>
      </c>
      <c r="B199" s="20" t="s">
        <v>195</v>
      </c>
      <c r="C199" s="21" t="s">
        <v>14</v>
      </c>
      <c r="D199" s="21" t="s">
        <v>196</v>
      </c>
      <c r="E199" s="21"/>
      <c r="F199" s="21"/>
      <c r="G199" s="13">
        <f>SUM(G200)</f>
        <v>314152.66000000003</v>
      </c>
      <c r="H199" s="13">
        <f t="shared" ref="H199:I199" si="114">SUM(H200)</f>
        <v>93095.8</v>
      </c>
      <c r="I199" s="13">
        <f t="shared" si="114"/>
        <v>62680</v>
      </c>
    </row>
    <row r="200" spans="1:9" ht="90" x14ac:dyDescent="0.25">
      <c r="A200" s="18">
        <f t="shared" si="95"/>
        <v>189</v>
      </c>
      <c r="B200" s="16" t="s">
        <v>187</v>
      </c>
      <c r="C200" s="17" t="s">
        <v>14</v>
      </c>
      <c r="D200" s="17" t="s">
        <v>196</v>
      </c>
      <c r="E200" s="17" t="s">
        <v>188</v>
      </c>
      <c r="F200" s="17"/>
      <c r="G200" s="14">
        <f>SUM(G201+G233)</f>
        <v>314152.66000000003</v>
      </c>
      <c r="H200" s="14">
        <f t="shared" ref="H200:I200" si="115">SUM(H201+H233)</f>
        <v>93095.8</v>
      </c>
      <c r="I200" s="14">
        <f t="shared" si="115"/>
        <v>62680</v>
      </c>
    </row>
    <row r="201" spans="1:9" ht="54" x14ac:dyDescent="0.25">
      <c r="A201" s="18">
        <f t="shared" si="95"/>
        <v>190</v>
      </c>
      <c r="B201" s="16" t="s">
        <v>197</v>
      </c>
      <c r="C201" s="17" t="s">
        <v>14</v>
      </c>
      <c r="D201" s="17" t="s">
        <v>196</v>
      </c>
      <c r="E201" s="17" t="s">
        <v>198</v>
      </c>
      <c r="F201" s="17"/>
      <c r="G201" s="14">
        <f>SUM(G202+G204+G207+G209+G211+G213+G215+G217+G219+G221+G223+G225+G227+G229+G231)</f>
        <v>313552.66000000003</v>
      </c>
      <c r="H201" s="14">
        <f t="shared" ref="H201:I201" si="116">SUM(H202+H204+H207+H209+H211+H213+H215+H217+H219+H221+H223+H225+H227+H229+H231)</f>
        <v>93095.8</v>
      </c>
      <c r="I201" s="14">
        <f t="shared" si="116"/>
        <v>62680</v>
      </c>
    </row>
    <row r="202" spans="1:9" ht="54" x14ac:dyDescent="0.25">
      <c r="A202" s="18">
        <f t="shared" si="95"/>
        <v>191</v>
      </c>
      <c r="B202" s="16" t="s">
        <v>199</v>
      </c>
      <c r="C202" s="17" t="s">
        <v>14</v>
      </c>
      <c r="D202" s="17" t="s">
        <v>196</v>
      </c>
      <c r="E202" s="17" t="s">
        <v>200</v>
      </c>
      <c r="F202" s="17"/>
      <c r="G202" s="14">
        <f>SUM(G203)</f>
        <v>8237</v>
      </c>
      <c r="H202" s="14">
        <f t="shared" ref="H202:I202" si="117">SUM(H203)</f>
        <v>0</v>
      </c>
      <c r="I202" s="14">
        <f t="shared" si="117"/>
        <v>0</v>
      </c>
    </row>
    <row r="203" spans="1:9" ht="57.75" customHeight="1" x14ac:dyDescent="0.25">
      <c r="A203" s="18">
        <f t="shared" si="95"/>
        <v>192</v>
      </c>
      <c r="B203" s="16" t="s">
        <v>33</v>
      </c>
      <c r="C203" s="17" t="s">
        <v>14</v>
      </c>
      <c r="D203" s="17" t="s">
        <v>196</v>
      </c>
      <c r="E203" s="17" t="s">
        <v>200</v>
      </c>
      <c r="F203" s="17" t="s">
        <v>34</v>
      </c>
      <c r="G203" s="14">
        <f>9237-1000</f>
        <v>8237</v>
      </c>
      <c r="H203" s="14">
        <v>0</v>
      </c>
      <c r="I203" s="14">
        <v>0</v>
      </c>
    </row>
    <row r="204" spans="1:9" ht="36" x14ac:dyDescent="0.25">
      <c r="A204" s="18">
        <f t="shared" si="95"/>
        <v>193</v>
      </c>
      <c r="B204" s="16" t="s">
        <v>201</v>
      </c>
      <c r="C204" s="17" t="s">
        <v>14</v>
      </c>
      <c r="D204" s="17" t="s">
        <v>196</v>
      </c>
      <c r="E204" s="17" t="s">
        <v>202</v>
      </c>
      <c r="F204" s="17"/>
      <c r="G204" s="14">
        <f>SUM(G205:G206)</f>
        <v>20471.72</v>
      </c>
      <c r="H204" s="14">
        <f t="shared" ref="H204:I204" si="118">SUM(H205:H206)</f>
        <v>19800</v>
      </c>
      <c r="I204" s="14">
        <f t="shared" si="118"/>
        <v>20900</v>
      </c>
    </row>
    <row r="205" spans="1:9" ht="57" customHeight="1" x14ac:dyDescent="0.25">
      <c r="A205" s="18">
        <f t="shared" si="95"/>
        <v>194</v>
      </c>
      <c r="B205" s="16" t="s">
        <v>33</v>
      </c>
      <c r="C205" s="17" t="s">
        <v>14</v>
      </c>
      <c r="D205" s="17" t="s">
        <v>196</v>
      </c>
      <c r="E205" s="17" t="s">
        <v>202</v>
      </c>
      <c r="F205" s="17" t="s">
        <v>34</v>
      </c>
      <c r="G205" s="14">
        <f>19996.72+275</f>
        <v>20271.72</v>
      </c>
      <c r="H205" s="14">
        <v>19600</v>
      </c>
      <c r="I205" s="14">
        <v>20700</v>
      </c>
    </row>
    <row r="206" spans="1:9" ht="36" x14ac:dyDescent="0.25">
      <c r="A206" s="18">
        <f t="shared" si="95"/>
        <v>195</v>
      </c>
      <c r="B206" s="16" t="s">
        <v>37</v>
      </c>
      <c r="C206" s="17" t="s">
        <v>14</v>
      </c>
      <c r="D206" s="17" t="s">
        <v>196</v>
      </c>
      <c r="E206" s="17" t="s">
        <v>202</v>
      </c>
      <c r="F206" s="17" t="s">
        <v>38</v>
      </c>
      <c r="G206" s="14">
        <v>200</v>
      </c>
      <c r="H206" s="14">
        <v>200</v>
      </c>
      <c r="I206" s="14">
        <v>200</v>
      </c>
    </row>
    <row r="207" spans="1:9" ht="54" x14ac:dyDescent="0.25">
      <c r="A207" s="18">
        <f t="shared" si="95"/>
        <v>196</v>
      </c>
      <c r="B207" s="16" t="s">
        <v>203</v>
      </c>
      <c r="C207" s="17" t="s">
        <v>14</v>
      </c>
      <c r="D207" s="17" t="s">
        <v>196</v>
      </c>
      <c r="E207" s="17" t="s">
        <v>204</v>
      </c>
      <c r="F207" s="17"/>
      <c r="G207" s="14">
        <f>SUM(G208)</f>
        <v>1466</v>
      </c>
      <c r="H207" s="14">
        <f t="shared" ref="H207:I207" si="119">SUM(H208)</f>
        <v>2550</v>
      </c>
      <c r="I207" s="14">
        <f t="shared" si="119"/>
        <v>2600</v>
      </c>
    </row>
    <row r="208" spans="1:9" ht="57.75" customHeight="1" x14ac:dyDescent="0.25">
      <c r="A208" s="18">
        <f t="shared" si="95"/>
        <v>197</v>
      </c>
      <c r="B208" s="16" t="s">
        <v>33</v>
      </c>
      <c r="C208" s="17" t="s">
        <v>14</v>
      </c>
      <c r="D208" s="17" t="s">
        <v>196</v>
      </c>
      <c r="E208" s="17" t="s">
        <v>204</v>
      </c>
      <c r="F208" s="17" t="s">
        <v>34</v>
      </c>
      <c r="G208" s="14">
        <f>2500-1034</f>
        <v>1466</v>
      </c>
      <c r="H208" s="14">
        <v>2550</v>
      </c>
      <c r="I208" s="14">
        <v>2600</v>
      </c>
    </row>
    <row r="209" spans="1:9" ht="54" x14ac:dyDescent="0.25">
      <c r="A209" s="18">
        <f t="shared" si="95"/>
        <v>198</v>
      </c>
      <c r="B209" s="16" t="s">
        <v>205</v>
      </c>
      <c r="C209" s="17" t="s">
        <v>14</v>
      </c>
      <c r="D209" s="17" t="s">
        <v>196</v>
      </c>
      <c r="E209" s="17" t="s">
        <v>206</v>
      </c>
      <c r="F209" s="17"/>
      <c r="G209" s="14">
        <f>SUM(G210)</f>
        <v>0</v>
      </c>
      <c r="H209" s="14">
        <f t="shared" ref="H209:I209" si="120">SUM(H210)</f>
        <v>600</v>
      </c>
      <c r="I209" s="14">
        <f t="shared" si="120"/>
        <v>650</v>
      </c>
    </row>
    <row r="210" spans="1:9" ht="57.75" customHeight="1" x14ac:dyDescent="0.25">
      <c r="A210" s="18">
        <f t="shared" si="95"/>
        <v>199</v>
      </c>
      <c r="B210" s="16" t="s">
        <v>33</v>
      </c>
      <c r="C210" s="17" t="s">
        <v>14</v>
      </c>
      <c r="D210" s="17" t="s">
        <v>196</v>
      </c>
      <c r="E210" s="17" t="s">
        <v>206</v>
      </c>
      <c r="F210" s="17" t="s">
        <v>34</v>
      </c>
      <c r="G210" s="14">
        <f>550-550</f>
        <v>0</v>
      </c>
      <c r="H210" s="14">
        <v>600</v>
      </c>
      <c r="I210" s="14">
        <v>650</v>
      </c>
    </row>
    <row r="211" spans="1:9" ht="54" x14ac:dyDescent="0.25">
      <c r="A211" s="18">
        <f t="shared" si="95"/>
        <v>200</v>
      </c>
      <c r="B211" s="16" t="s">
        <v>207</v>
      </c>
      <c r="C211" s="17" t="s">
        <v>14</v>
      </c>
      <c r="D211" s="17" t="s">
        <v>196</v>
      </c>
      <c r="E211" s="17" t="s">
        <v>208</v>
      </c>
      <c r="F211" s="17"/>
      <c r="G211" s="14">
        <f>SUM(G212)</f>
        <v>1300</v>
      </c>
      <c r="H211" s="14">
        <f t="shared" ref="H211:I211" si="121">SUM(H212)</f>
        <v>1350</v>
      </c>
      <c r="I211" s="14">
        <f t="shared" si="121"/>
        <v>1400</v>
      </c>
    </row>
    <row r="212" spans="1:9" ht="58.5" customHeight="1" x14ac:dyDescent="0.25">
      <c r="A212" s="18">
        <f t="shared" si="95"/>
        <v>201</v>
      </c>
      <c r="B212" s="16" t="s">
        <v>33</v>
      </c>
      <c r="C212" s="17" t="s">
        <v>14</v>
      </c>
      <c r="D212" s="17" t="s">
        <v>196</v>
      </c>
      <c r="E212" s="17" t="s">
        <v>208</v>
      </c>
      <c r="F212" s="17" t="s">
        <v>34</v>
      </c>
      <c r="G212" s="14">
        <v>1300</v>
      </c>
      <c r="H212" s="14">
        <v>1350</v>
      </c>
      <c r="I212" s="14">
        <v>1400</v>
      </c>
    </row>
    <row r="213" spans="1:9" ht="36" x14ac:dyDescent="0.25">
      <c r="A213" s="18">
        <f t="shared" si="95"/>
        <v>202</v>
      </c>
      <c r="B213" s="16" t="s">
        <v>209</v>
      </c>
      <c r="C213" s="17" t="s">
        <v>14</v>
      </c>
      <c r="D213" s="17" t="s">
        <v>196</v>
      </c>
      <c r="E213" s="17" t="s">
        <v>210</v>
      </c>
      <c r="F213" s="17"/>
      <c r="G213" s="14">
        <f>SUM(G214)</f>
        <v>0</v>
      </c>
      <c r="H213" s="14">
        <f t="shared" ref="H213:I213" si="122">SUM(H214)</f>
        <v>0</v>
      </c>
      <c r="I213" s="14">
        <f t="shared" si="122"/>
        <v>0</v>
      </c>
    </row>
    <row r="214" spans="1:9" ht="57" customHeight="1" x14ac:dyDescent="0.25">
      <c r="A214" s="18">
        <f t="shared" si="95"/>
        <v>203</v>
      </c>
      <c r="B214" s="16" t="s">
        <v>33</v>
      </c>
      <c r="C214" s="17" t="s">
        <v>14</v>
      </c>
      <c r="D214" s="17" t="s">
        <v>196</v>
      </c>
      <c r="E214" s="17" t="s">
        <v>210</v>
      </c>
      <c r="F214" s="17" t="s">
        <v>34</v>
      </c>
      <c r="G214" s="14">
        <f>2000-2000</f>
        <v>0</v>
      </c>
      <c r="H214" s="14">
        <v>0</v>
      </c>
      <c r="I214" s="14">
        <v>0</v>
      </c>
    </row>
    <row r="215" spans="1:9" ht="90" x14ac:dyDescent="0.25">
      <c r="A215" s="18">
        <f t="shared" si="95"/>
        <v>204</v>
      </c>
      <c r="B215" s="16" t="s">
        <v>211</v>
      </c>
      <c r="C215" s="17" t="s">
        <v>14</v>
      </c>
      <c r="D215" s="17" t="s">
        <v>196</v>
      </c>
      <c r="E215" s="17" t="s">
        <v>212</v>
      </c>
      <c r="F215" s="17"/>
      <c r="G215" s="14">
        <f>SUM(G216)</f>
        <v>150172.9</v>
      </c>
      <c r="H215" s="14">
        <f t="shared" ref="H215:I215" si="123">SUM(H216)</f>
        <v>40244.06</v>
      </c>
      <c r="I215" s="14">
        <f t="shared" si="123"/>
        <v>24144.1</v>
      </c>
    </row>
    <row r="216" spans="1:9" ht="54" customHeight="1" x14ac:dyDescent="0.25">
      <c r="A216" s="18">
        <f t="shared" si="95"/>
        <v>205</v>
      </c>
      <c r="B216" s="16" t="s">
        <v>33</v>
      </c>
      <c r="C216" s="17" t="s">
        <v>14</v>
      </c>
      <c r="D216" s="17" t="s">
        <v>196</v>
      </c>
      <c r="E216" s="17" t="s">
        <v>212</v>
      </c>
      <c r="F216" s="17" t="s">
        <v>34</v>
      </c>
      <c r="G216" s="14">
        <f>151747.9-1575</f>
        <v>150172.9</v>
      </c>
      <c r="H216" s="14">
        <v>40244.06</v>
      </c>
      <c r="I216" s="14">
        <v>24144.1</v>
      </c>
    </row>
    <row r="217" spans="1:9" ht="54" x14ac:dyDescent="0.25">
      <c r="A217" s="18">
        <f t="shared" si="95"/>
        <v>206</v>
      </c>
      <c r="B217" s="16" t="s">
        <v>213</v>
      </c>
      <c r="C217" s="17" t="s">
        <v>14</v>
      </c>
      <c r="D217" s="17" t="s">
        <v>196</v>
      </c>
      <c r="E217" s="17" t="s">
        <v>214</v>
      </c>
      <c r="F217" s="17"/>
      <c r="G217" s="14">
        <f>SUM(G218)</f>
        <v>3000</v>
      </c>
      <c r="H217" s="14">
        <f t="shared" ref="H217:I217" si="124">SUM(H218)</f>
        <v>159.74</v>
      </c>
      <c r="I217" s="14">
        <f t="shared" si="124"/>
        <v>1500</v>
      </c>
    </row>
    <row r="218" spans="1:9" ht="59.25" customHeight="1" x14ac:dyDescent="0.25">
      <c r="A218" s="18">
        <f t="shared" si="95"/>
        <v>207</v>
      </c>
      <c r="B218" s="16" t="s">
        <v>33</v>
      </c>
      <c r="C218" s="17" t="s">
        <v>14</v>
      </c>
      <c r="D218" s="17" t="s">
        <v>196</v>
      </c>
      <c r="E218" s="17" t="s">
        <v>214</v>
      </c>
      <c r="F218" s="17" t="s">
        <v>34</v>
      </c>
      <c r="G218" s="14">
        <v>3000</v>
      </c>
      <c r="H218" s="14">
        <f>1500-1340.26</f>
        <v>159.74</v>
      </c>
      <c r="I218" s="14">
        <v>1500</v>
      </c>
    </row>
    <row r="219" spans="1:9" ht="111" customHeight="1" x14ac:dyDescent="0.25">
      <c r="A219" s="18">
        <f t="shared" si="95"/>
        <v>208</v>
      </c>
      <c r="B219" s="16" t="s">
        <v>215</v>
      </c>
      <c r="C219" s="17" t="s">
        <v>14</v>
      </c>
      <c r="D219" s="17" t="s">
        <v>196</v>
      </c>
      <c r="E219" s="17" t="s">
        <v>216</v>
      </c>
      <c r="F219" s="17"/>
      <c r="G219" s="14">
        <f>SUM(G220)</f>
        <v>18782</v>
      </c>
      <c r="H219" s="14">
        <f t="shared" ref="H219:I219" si="125">SUM(H220)</f>
        <v>8916.84</v>
      </c>
      <c r="I219" s="14">
        <f t="shared" si="125"/>
        <v>3920</v>
      </c>
    </row>
    <row r="220" spans="1:9" ht="56.25" customHeight="1" x14ac:dyDescent="0.25">
      <c r="A220" s="18">
        <f t="shared" si="95"/>
        <v>209</v>
      </c>
      <c r="B220" s="16" t="s">
        <v>33</v>
      </c>
      <c r="C220" s="17" t="s">
        <v>14</v>
      </c>
      <c r="D220" s="17" t="s">
        <v>196</v>
      </c>
      <c r="E220" s="17" t="s">
        <v>216</v>
      </c>
      <c r="F220" s="17" t="s">
        <v>34</v>
      </c>
      <c r="G220" s="14">
        <v>18782</v>
      </c>
      <c r="H220" s="14">
        <v>8916.84</v>
      </c>
      <c r="I220" s="14">
        <v>3920</v>
      </c>
    </row>
    <row r="221" spans="1:9" ht="72" customHeight="1" x14ac:dyDescent="0.25">
      <c r="A221" s="18">
        <f t="shared" si="95"/>
        <v>210</v>
      </c>
      <c r="B221" s="16" t="s">
        <v>217</v>
      </c>
      <c r="C221" s="17" t="s">
        <v>14</v>
      </c>
      <c r="D221" s="17" t="s">
        <v>196</v>
      </c>
      <c r="E221" s="17" t="s">
        <v>218</v>
      </c>
      <c r="F221" s="17"/>
      <c r="G221" s="14">
        <f>SUM(G222)</f>
        <v>57146.04</v>
      </c>
      <c r="H221" s="14">
        <f t="shared" ref="H221:I221" si="126">SUM(H222)</f>
        <v>19275.16</v>
      </c>
      <c r="I221" s="14">
        <f t="shared" si="126"/>
        <v>7217.9</v>
      </c>
    </row>
    <row r="222" spans="1:9" ht="54" customHeight="1" x14ac:dyDescent="0.25">
      <c r="A222" s="18">
        <f t="shared" si="95"/>
        <v>211</v>
      </c>
      <c r="B222" s="16" t="s">
        <v>33</v>
      </c>
      <c r="C222" s="17" t="s">
        <v>14</v>
      </c>
      <c r="D222" s="17" t="s">
        <v>196</v>
      </c>
      <c r="E222" s="17" t="s">
        <v>218</v>
      </c>
      <c r="F222" s="17" t="s">
        <v>34</v>
      </c>
      <c r="G222" s="14">
        <v>57146.04</v>
      </c>
      <c r="H222" s="14">
        <f>17934.9+1340.26</f>
        <v>19275.16</v>
      </c>
      <c r="I222" s="14">
        <v>7217.9</v>
      </c>
    </row>
    <row r="223" spans="1:9" ht="54" x14ac:dyDescent="0.25">
      <c r="A223" s="18">
        <f t="shared" si="95"/>
        <v>212</v>
      </c>
      <c r="B223" s="16" t="s">
        <v>219</v>
      </c>
      <c r="C223" s="17" t="s">
        <v>14</v>
      </c>
      <c r="D223" s="17" t="s">
        <v>196</v>
      </c>
      <c r="E223" s="17" t="s">
        <v>220</v>
      </c>
      <c r="F223" s="17"/>
      <c r="G223" s="14">
        <f>SUM(G224)</f>
        <v>700</v>
      </c>
      <c r="H223" s="14">
        <f t="shared" ref="H223:I223" si="127">SUM(H224)</f>
        <v>0</v>
      </c>
      <c r="I223" s="14">
        <f t="shared" si="127"/>
        <v>148</v>
      </c>
    </row>
    <row r="224" spans="1:9" ht="57" customHeight="1" x14ac:dyDescent="0.25">
      <c r="A224" s="18">
        <f t="shared" si="95"/>
        <v>213</v>
      </c>
      <c r="B224" s="16" t="s">
        <v>33</v>
      </c>
      <c r="C224" s="17" t="s">
        <v>14</v>
      </c>
      <c r="D224" s="17" t="s">
        <v>196</v>
      </c>
      <c r="E224" s="17" t="s">
        <v>220</v>
      </c>
      <c r="F224" s="17" t="s">
        <v>34</v>
      </c>
      <c r="G224" s="14">
        <f>800-100</f>
        <v>700</v>
      </c>
      <c r="H224" s="14">
        <v>0</v>
      </c>
      <c r="I224" s="14">
        <v>148</v>
      </c>
    </row>
    <row r="225" spans="1:9" ht="54" x14ac:dyDescent="0.25">
      <c r="A225" s="18">
        <f t="shared" si="95"/>
        <v>214</v>
      </c>
      <c r="B225" s="16" t="s">
        <v>221</v>
      </c>
      <c r="C225" s="17" t="s">
        <v>14</v>
      </c>
      <c r="D225" s="17" t="s">
        <v>196</v>
      </c>
      <c r="E225" s="17" t="s">
        <v>222</v>
      </c>
      <c r="F225" s="17"/>
      <c r="G225" s="14">
        <f>SUM(G226)</f>
        <v>28052</v>
      </c>
      <c r="H225" s="14">
        <f t="shared" ref="H225:I225" si="128">SUM(H226)</f>
        <v>0</v>
      </c>
      <c r="I225" s="14">
        <f t="shared" si="128"/>
        <v>0</v>
      </c>
    </row>
    <row r="226" spans="1:9" ht="55.5" customHeight="1" x14ac:dyDescent="0.25">
      <c r="A226" s="18">
        <f t="shared" si="95"/>
        <v>215</v>
      </c>
      <c r="B226" s="16" t="s">
        <v>33</v>
      </c>
      <c r="C226" s="17" t="s">
        <v>14</v>
      </c>
      <c r="D226" s="17" t="s">
        <v>196</v>
      </c>
      <c r="E226" s="17" t="s">
        <v>222</v>
      </c>
      <c r="F226" s="17" t="s">
        <v>34</v>
      </c>
      <c r="G226" s="14">
        <f>26752+1300</f>
        <v>28052</v>
      </c>
      <c r="H226" s="14">
        <v>0</v>
      </c>
      <c r="I226" s="14">
        <v>0</v>
      </c>
    </row>
    <row r="227" spans="1:9" ht="90" x14ac:dyDescent="0.25">
      <c r="A227" s="18">
        <f t="shared" si="95"/>
        <v>216</v>
      </c>
      <c r="B227" s="16" t="s">
        <v>223</v>
      </c>
      <c r="C227" s="17" t="s">
        <v>14</v>
      </c>
      <c r="D227" s="17" t="s">
        <v>196</v>
      </c>
      <c r="E227" s="17" t="s">
        <v>224</v>
      </c>
      <c r="F227" s="17"/>
      <c r="G227" s="14">
        <f>SUM(G228)</f>
        <v>316</v>
      </c>
      <c r="H227" s="14">
        <f t="shared" ref="H227:I227" si="129">SUM(H228)</f>
        <v>200</v>
      </c>
      <c r="I227" s="14">
        <f t="shared" si="129"/>
        <v>200</v>
      </c>
    </row>
    <row r="228" spans="1:9" ht="55.5" customHeight="1" x14ac:dyDescent="0.25">
      <c r="A228" s="18">
        <f t="shared" si="95"/>
        <v>217</v>
      </c>
      <c r="B228" s="16" t="s">
        <v>33</v>
      </c>
      <c r="C228" s="17" t="s">
        <v>14</v>
      </c>
      <c r="D228" s="17" t="s">
        <v>196</v>
      </c>
      <c r="E228" s="17" t="s">
        <v>224</v>
      </c>
      <c r="F228" s="17" t="s">
        <v>34</v>
      </c>
      <c r="G228" s="14">
        <f>350-34</f>
        <v>316</v>
      </c>
      <c r="H228" s="14">
        <v>200</v>
      </c>
      <c r="I228" s="14">
        <v>200</v>
      </c>
    </row>
    <row r="229" spans="1:9" ht="90" x14ac:dyDescent="0.25">
      <c r="A229" s="18">
        <f t="shared" si="95"/>
        <v>218</v>
      </c>
      <c r="B229" s="16" t="s">
        <v>225</v>
      </c>
      <c r="C229" s="17" t="s">
        <v>14</v>
      </c>
      <c r="D229" s="17" t="s">
        <v>196</v>
      </c>
      <c r="E229" s="17" t="s">
        <v>226</v>
      </c>
      <c r="F229" s="17"/>
      <c r="G229" s="14">
        <f>SUM(G230)</f>
        <v>23309</v>
      </c>
      <c r="H229" s="14">
        <f t="shared" ref="H229:I229" si="130">SUM(H230)</f>
        <v>0</v>
      </c>
      <c r="I229" s="14">
        <f t="shared" si="130"/>
        <v>0</v>
      </c>
    </row>
    <row r="230" spans="1:9" ht="56.25" customHeight="1" x14ac:dyDescent="0.25">
      <c r="A230" s="18">
        <f t="shared" si="95"/>
        <v>219</v>
      </c>
      <c r="B230" s="16" t="s">
        <v>33</v>
      </c>
      <c r="C230" s="17" t="s">
        <v>14</v>
      </c>
      <c r="D230" s="17" t="s">
        <v>196</v>
      </c>
      <c r="E230" s="17" t="s">
        <v>226</v>
      </c>
      <c r="F230" s="17" t="s">
        <v>34</v>
      </c>
      <c r="G230" s="14">
        <v>23309</v>
      </c>
      <c r="H230" s="14">
        <v>0</v>
      </c>
      <c r="I230" s="14">
        <v>0</v>
      </c>
    </row>
    <row r="231" spans="1:9" ht="56.25" customHeight="1" x14ac:dyDescent="0.25">
      <c r="A231" s="18">
        <f t="shared" si="95"/>
        <v>220</v>
      </c>
      <c r="B231" s="16" t="s">
        <v>835</v>
      </c>
      <c r="C231" s="17" t="s">
        <v>14</v>
      </c>
      <c r="D231" s="17" t="s">
        <v>196</v>
      </c>
      <c r="E231" s="27" t="s">
        <v>834</v>
      </c>
      <c r="F231" s="17"/>
      <c r="G231" s="14">
        <f>SUM(G232)</f>
        <v>600</v>
      </c>
      <c r="H231" s="14">
        <f t="shared" ref="H231:I231" si="131">SUM(H232)</f>
        <v>0</v>
      </c>
      <c r="I231" s="14">
        <f t="shared" si="131"/>
        <v>0</v>
      </c>
    </row>
    <row r="232" spans="1:9" ht="56.25" customHeight="1" x14ac:dyDescent="0.25">
      <c r="A232" s="18">
        <f t="shared" si="95"/>
        <v>221</v>
      </c>
      <c r="B232" s="16" t="s">
        <v>33</v>
      </c>
      <c r="C232" s="17" t="s">
        <v>14</v>
      </c>
      <c r="D232" s="17" t="s">
        <v>196</v>
      </c>
      <c r="E232" s="27" t="s">
        <v>834</v>
      </c>
      <c r="F232" s="17">
        <v>240</v>
      </c>
      <c r="G232" s="14">
        <v>600</v>
      </c>
      <c r="H232" s="14">
        <v>0</v>
      </c>
      <c r="I232" s="14">
        <v>0</v>
      </c>
    </row>
    <row r="233" spans="1:9" ht="37.5" customHeight="1" x14ac:dyDescent="0.25">
      <c r="A233" s="18">
        <f t="shared" si="95"/>
        <v>222</v>
      </c>
      <c r="B233" s="16" t="s">
        <v>189</v>
      </c>
      <c r="C233" s="17" t="s">
        <v>14</v>
      </c>
      <c r="D233" s="17" t="s">
        <v>196</v>
      </c>
      <c r="E233" s="17" t="s">
        <v>190</v>
      </c>
      <c r="F233" s="17"/>
      <c r="G233" s="14">
        <f>SUM(G234)</f>
        <v>600</v>
      </c>
      <c r="H233" s="14">
        <f t="shared" ref="H233:I233" si="132">SUM(H234)</f>
        <v>0</v>
      </c>
      <c r="I233" s="14">
        <f t="shared" si="132"/>
        <v>0</v>
      </c>
    </row>
    <row r="234" spans="1:9" ht="72" x14ac:dyDescent="0.25">
      <c r="A234" s="18">
        <f t="shared" si="95"/>
        <v>223</v>
      </c>
      <c r="B234" s="16" t="s">
        <v>227</v>
      </c>
      <c r="C234" s="17" t="s">
        <v>14</v>
      </c>
      <c r="D234" s="17" t="s">
        <v>196</v>
      </c>
      <c r="E234" s="17" t="s">
        <v>228</v>
      </c>
      <c r="F234" s="17"/>
      <c r="G234" s="14">
        <f>SUM(G235)</f>
        <v>600</v>
      </c>
      <c r="H234" s="14">
        <f t="shared" ref="H234:I234" si="133">SUM(H235)</f>
        <v>0</v>
      </c>
      <c r="I234" s="14">
        <f t="shared" si="133"/>
        <v>0</v>
      </c>
    </row>
    <row r="235" spans="1:9" ht="55.5" customHeight="1" x14ac:dyDescent="0.25">
      <c r="A235" s="18">
        <f t="shared" si="95"/>
        <v>224</v>
      </c>
      <c r="B235" s="16" t="s">
        <v>33</v>
      </c>
      <c r="C235" s="17" t="s">
        <v>14</v>
      </c>
      <c r="D235" s="17" t="s">
        <v>196</v>
      </c>
      <c r="E235" s="17" t="s">
        <v>228</v>
      </c>
      <c r="F235" s="17" t="s">
        <v>34</v>
      </c>
      <c r="G235" s="14">
        <v>600</v>
      </c>
      <c r="H235" s="14">
        <v>0</v>
      </c>
      <c r="I235" s="14">
        <v>0</v>
      </c>
    </row>
    <row r="236" spans="1:9" ht="18" x14ac:dyDescent="0.25">
      <c r="A236" s="19">
        <f t="shared" si="95"/>
        <v>225</v>
      </c>
      <c r="B236" s="20" t="s">
        <v>229</v>
      </c>
      <c r="C236" s="21" t="s">
        <v>14</v>
      </c>
      <c r="D236" s="21" t="s">
        <v>230</v>
      </c>
      <c r="E236" s="21"/>
      <c r="F236" s="21"/>
      <c r="G236" s="13">
        <f>SUM(G237)</f>
        <v>1720</v>
      </c>
      <c r="H236" s="13">
        <f t="shared" ref="H236:I236" si="134">SUM(H237)</f>
        <v>2500</v>
      </c>
      <c r="I236" s="13">
        <f t="shared" si="134"/>
        <v>2500</v>
      </c>
    </row>
    <row r="237" spans="1:9" ht="72" x14ac:dyDescent="0.25">
      <c r="A237" s="18">
        <f t="shared" si="95"/>
        <v>226</v>
      </c>
      <c r="B237" s="16" t="s">
        <v>80</v>
      </c>
      <c r="C237" s="17" t="s">
        <v>14</v>
      </c>
      <c r="D237" s="17" t="s">
        <v>230</v>
      </c>
      <c r="E237" s="17" t="s">
        <v>81</v>
      </c>
      <c r="F237" s="17"/>
      <c r="G237" s="14">
        <f>SUM(G238)</f>
        <v>1720</v>
      </c>
      <c r="H237" s="14">
        <f t="shared" ref="H237:I237" si="135">SUM(H238)</f>
        <v>2500</v>
      </c>
      <c r="I237" s="14">
        <f t="shared" si="135"/>
        <v>2500</v>
      </c>
    </row>
    <row r="238" spans="1:9" ht="54" x14ac:dyDescent="0.25">
      <c r="A238" s="18">
        <f t="shared" si="95"/>
        <v>227</v>
      </c>
      <c r="B238" s="16" t="s">
        <v>231</v>
      </c>
      <c r="C238" s="17" t="s">
        <v>14</v>
      </c>
      <c r="D238" s="17" t="s">
        <v>230</v>
      </c>
      <c r="E238" s="17" t="s">
        <v>232</v>
      </c>
      <c r="F238" s="17"/>
      <c r="G238" s="14">
        <f>SUM(G239+G241)</f>
        <v>1720</v>
      </c>
      <c r="H238" s="14">
        <f t="shared" ref="H238:I238" si="136">SUM(H239+H241)</f>
        <v>2500</v>
      </c>
      <c r="I238" s="14">
        <f t="shared" si="136"/>
        <v>2500</v>
      </c>
    </row>
    <row r="239" spans="1:9" ht="54" x14ac:dyDescent="0.25">
      <c r="A239" s="18">
        <f t="shared" si="95"/>
        <v>228</v>
      </c>
      <c r="B239" s="16" t="s">
        <v>233</v>
      </c>
      <c r="C239" s="17" t="s">
        <v>14</v>
      </c>
      <c r="D239" s="17" t="s">
        <v>230</v>
      </c>
      <c r="E239" s="17" t="s">
        <v>234</v>
      </c>
      <c r="F239" s="17"/>
      <c r="G239" s="14">
        <f>SUM(G240)</f>
        <v>447.5</v>
      </c>
      <c r="H239" s="14">
        <f t="shared" ref="H239:I239" si="137">SUM(H240)</f>
        <v>2000</v>
      </c>
      <c r="I239" s="14">
        <f t="shared" si="137"/>
        <v>2000</v>
      </c>
    </row>
    <row r="240" spans="1:9" ht="57" customHeight="1" x14ac:dyDescent="0.25">
      <c r="A240" s="18">
        <f t="shared" si="95"/>
        <v>229</v>
      </c>
      <c r="B240" s="16" t="s">
        <v>33</v>
      </c>
      <c r="C240" s="17" t="s">
        <v>14</v>
      </c>
      <c r="D240" s="17" t="s">
        <v>230</v>
      </c>
      <c r="E240" s="17" t="s">
        <v>234</v>
      </c>
      <c r="F240" s="17" t="s">
        <v>34</v>
      </c>
      <c r="G240" s="14">
        <f>1000-630+77.5</f>
        <v>447.5</v>
      </c>
      <c r="H240" s="14">
        <v>2000</v>
      </c>
      <c r="I240" s="14">
        <v>2000</v>
      </c>
    </row>
    <row r="241" spans="1:9" ht="72" x14ac:dyDescent="0.25">
      <c r="A241" s="18">
        <f t="shared" si="95"/>
        <v>230</v>
      </c>
      <c r="B241" s="16" t="s">
        <v>235</v>
      </c>
      <c r="C241" s="17" t="s">
        <v>14</v>
      </c>
      <c r="D241" s="17" t="s">
        <v>230</v>
      </c>
      <c r="E241" s="17" t="s">
        <v>236</v>
      </c>
      <c r="F241" s="17"/>
      <c r="G241" s="14">
        <f>SUM(G242)</f>
        <v>1272.5</v>
      </c>
      <c r="H241" s="14">
        <f t="shared" ref="H241:I241" si="138">SUM(H242)</f>
        <v>500</v>
      </c>
      <c r="I241" s="14">
        <f t="shared" si="138"/>
        <v>500</v>
      </c>
    </row>
    <row r="242" spans="1:9" ht="57.75" customHeight="1" x14ac:dyDescent="0.25">
      <c r="A242" s="18">
        <f t="shared" si="95"/>
        <v>231</v>
      </c>
      <c r="B242" s="16" t="s">
        <v>33</v>
      </c>
      <c r="C242" s="17" t="s">
        <v>14</v>
      </c>
      <c r="D242" s="17" t="s">
        <v>230</v>
      </c>
      <c r="E242" s="17" t="s">
        <v>236</v>
      </c>
      <c r="F242" s="17" t="s">
        <v>34</v>
      </c>
      <c r="G242" s="14">
        <f>1192.5+80</f>
        <v>1272.5</v>
      </c>
      <c r="H242" s="14">
        <v>500</v>
      </c>
      <c r="I242" s="14">
        <v>500</v>
      </c>
    </row>
    <row r="243" spans="1:9" ht="36" x14ac:dyDescent="0.25">
      <c r="A243" s="19">
        <f t="shared" si="95"/>
        <v>232</v>
      </c>
      <c r="B243" s="20" t="s">
        <v>237</v>
      </c>
      <c r="C243" s="21" t="s">
        <v>14</v>
      </c>
      <c r="D243" s="21" t="s">
        <v>238</v>
      </c>
      <c r="E243" s="21"/>
      <c r="F243" s="21"/>
      <c r="G243" s="13">
        <f>SUM(G244+G250+G263)</f>
        <v>8224.11</v>
      </c>
      <c r="H243" s="13">
        <f t="shared" ref="H243:I243" si="139">SUM(H244+H250+H263)</f>
        <v>6446.5</v>
      </c>
      <c r="I243" s="13">
        <f t="shared" si="139"/>
        <v>6956.5</v>
      </c>
    </row>
    <row r="244" spans="1:9" ht="75.75" customHeight="1" x14ac:dyDescent="0.25">
      <c r="A244" s="18">
        <f t="shared" si="95"/>
        <v>233</v>
      </c>
      <c r="B244" s="16" t="s">
        <v>239</v>
      </c>
      <c r="C244" s="17" t="s">
        <v>14</v>
      </c>
      <c r="D244" s="17" t="s">
        <v>238</v>
      </c>
      <c r="E244" s="17" t="s">
        <v>240</v>
      </c>
      <c r="F244" s="17"/>
      <c r="G244" s="14">
        <f>SUM(G245)</f>
        <v>2472.5</v>
      </c>
      <c r="H244" s="14">
        <f t="shared" ref="H244:I244" si="140">SUM(H245)</f>
        <v>2500</v>
      </c>
      <c r="I244" s="14">
        <f t="shared" si="140"/>
        <v>2500</v>
      </c>
    </row>
    <row r="245" spans="1:9" ht="40.5" customHeight="1" x14ac:dyDescent="0.25">
      <c r="A245" s="18">
        <f t="shared" si="95"/>
        <v>234</v>
      </c>
      <c r="B245" s="16" t="s">
        <v>241</v>
      </c>
      <c r="C245" s="17" t="s">
        <v>14</v>
      </c>
      <c r="D245" s="17" t="s">
        <v>238</v>
      </c>
      <c r="E245" s="17" t="s">
        <v>242</v>
      </c>
      <c r="F245" s="17"/>
      <c r="G245" s="14">
        <f>SUM(G246+G248)</f>
        <v>2472.5</v>
      </c>
      <c r="H245" s="14">
        <f t="shared" ref="H245:I245" si="141">SUM(H246+H248)</f>
        <v>2500</v>
      </c>
      <c r="I245" s="14">
        <f t="shared" si="141"/>
        <v>2500</v>
      </c>
    </row>
    <row r="246" spans="1:9" ht="75.75" customHeight="1" x14ac:dyDescent="0.25">
      <c r="A246" s="18">
        <f t="shared" si="95"/>
        <v>235</v>
      </c>
      <c r="B246" s="16" t="s">
        <v>243</v>
      </c>
      <c r="C246" s="17" t="s">
        <v>14</v>
      </c>
      <c r="D246" s="17" t="s">
        <v>238</v>
      </c>
      <c r="E246" s="17" t="s">
        <v>244</v>
      </c>
      <c r="F246" s="17"/>
      <c r="G246" s="14">
        <f>SUM(G247)</f>
        <v>702.5</v>
      </c>
      <c r="H246" s="14">
        <f t="shared" ref="H246:I246" si="142">SUM(H247)</f>
        <v>2000</v>
      </c>
      <c r="I246" s="14">
        <f t="shared" si="142"/>
        <v>2000</v>
      </c>
    </row>
    <row r="247" spans="1:9" ht="54.75" customHeight="1" x14ac:dyDescent="0.25">
      <c r="A247" s="18">
        <f t="shared" ref="A247:A321" si="143">SUM(A246+1)</f>
        <v>236</v>
      </c>
      <c r="B247" s="16" t="s">
        <v>33</v>
      </c>
      <c r="C247" s="17" t="s">
        <v>14</v>
      </c>
      <c r="D247" s="17" t="s">
        <v>238</v>
      </c>
      <c r="E247" s="17" t="s">
        <v>244</v>
      </c>
      <c r="F247" s="17" t="s">
        <v>34</v>
      </c>
      <c r="G247" s="14">
        <f>800-97.5</f>
        <v>702.5</v>
      </c>
      <c r="H247" s="14">
        <v>2000</v>
      </c>
      <c r="I247" s="14">
        <v>2000</v>
      </c>
    </row>
    <row r="248" spans="1:9" ht="90" x14ac:dyDescent="0.25">
      <c r="A248" s="18">
        <f t="shared" si="143"/>
        <v>237</v>
      </c>
      <c r="B248" s="16" t="s">
        <v>245</v>
      </c>
      <c r="C248" s="17" t="s">
        <v>14</v>
      </c>
      <c r="D248" s="17" t="s">
        <v>238</v>
      </c>
      <c r="E248" s="17" t="s">
        <v>246</v>
      </c>
      <c r="F248" s="17"/>
      <c r="G248" s="14">
        <f>SUM(G249)</f>
        <v>1770</v>
      </c>
      <c r="H248" s="14">
        <f t="shared" ref="H248:I248" si="144">SUM(H249)</f>
        <v>500</v>
      </c>
      <c r="I248" s="14">
        <f t="shared" si="144"/>
        <v>500</v>
      </c>
    </row>
    <row r="249" spans="1:9" ht="55.5" customHeight="1" x14ac:dyDescent="0.25">
      <c r="A249" s="18">
        <f t="shared" si="143"/>
        <v>238</v>
      </c>
      <c r="B249" s="16" t="s">
        <v>33</v>
      </c>
      <c r="C249" s="17" t="s">
        <v>14</v>
      </c>
      <c r="D249" s="17" t="s">
        <v>238</v>
      </c>
      <c r="E249" s="17" t="s">
        <v>246</v>
      </c>
      <c r="F249" s="17" t="s">
        <v>34</v>
      </c>
      <c r="G249" s="14">
        <f>2200-430</f>
        <v>1770</v>
      </c>
      <c r="H249" s="14">
        <v>500</v>
      </c>
      <c r="I249" s="14">
        <v>500</v>
      </c>
    </row>
    <row r="250" spans="1:9" ht="134.25" customHeight="1" x14ac:dyDescent="0.25">
      <c r="A250" s="18">
        <f t="shared" si="143"/>
        <v>239</v>
      </c>
      <c r="B250" s="16" t="s">
        <v>64</v>
      </c>
      <c r="C250" s="17" t="s">
        <v>14</v>
      </c>
      <c r="D250" s="17" t="s">
        <v>238</v>
      </c>
      <c r="E250" s="17" t="s">
        <v>65</v>
      </c>
      <c r="F250" s="17"/>
      <c r="G250" s="14">
        <f>SUM(G251+G258)</f>
        <v>4175.1100000000006</v>
      </c>
      <c r="H250" s="14">
        <f t="shared" ref="H250:I250" si="145">SUM(H251+H258)</f>
        <v>2290</v>
      </c>
      <c r="I250" s="14">
        <f t="shared" si="145"/>
        <v>2790</v>
      </c>
    </row>
    <row r="251" spans="1:9" ht="163.5" customHeight="1" x14ac:dyDescent="0.25">
      <c r="A251" s="18">
        <f t="shared" si="143"/>
        <v>240</v>
      </c>
      <c r="B251" s="16" t="s">
        <v>66</v>
      </c>
      <c r="C251" s="17" t="s">
        <v>14</v>
      </c>
      <c r="D251" s="17" t="s">
        <v>238</v>
      </c>
      <c r="E251" s="17" t="s">
        <v>67</v>
      </c>
      <c r="F251" s="17"/>
      <c r="G251" s="14">
        <f>SUM(G252+G254+G256)</f>
        <v>1847</v>
      </c>
      <c r="H251" s="14">
        <f t="shared" ref="H251:I251" si="146">SUM(H252+H254+H256)</f>
        <v>1290</v>
      </c>
      <c r="I251" s="14">
        <f t="shared" si="146"/>
        <v>1790</v>
      </c>
    </row>
    <row r="252" spans="1:9" ht="147.75" customHeight="1" x14ac:dyDescent="0.25">
      <c r="A252" s="18">
        <f t="shared" si="143"/>
        <v>241</v>
      </c>
      <c r="B252" s="16" t="s">
        <v>247</v>
      </c>
      <c r="C252" s="17" t="s">
        <v>14</v>
      </c>
      <c r="D252" s="17" t="s">
        <v>238</v>
      </c>
      <c r="E252" s="17" t="s">
        <v>248</v>
      </c>
      <c r="F252" s="17"/>
      <c r="G252" s="14">
        <f>SUM(G253)</f>
        <v>920</v>
      </c>
      <c r="H252" s="14">
        <f t="shared" ref="H252:I252" si="147">SUM(H253)</f>
        <v>800</v>
      </c>
      <c r="I252" s="14">
        <f t="shared" si="147"/>
        <v>1300</v>
      </c>
    </row>
    <row r="253" spans="1:9" ht="57.75" customHeight="1" x14ac:dyDescent="0.25">
      <c r="A253" s="18">
        <f t="shared" si="143"/>
        <v>242</v>
      </c>
      <c r="B253" s="16" t="s">
        <v>33</v>
      </c>
      <c r="C253" s="17" t="s">
        <v>14</v>
      </c>
      <c r="D253" s="17" t="s">
        <v>238</v>
      </c>
      <c r="E253" s="17" t="s">
        <v>248</v>
      </c>
      <c r="F253" s="17" t="s">
        <v>34</v>
      </c>
      <c r="G253" s="14">
        <f>1000-80</f>
        <v>920</v>
      </c>
      <c r="H253" s="14">
        <f>1300-500</f>
        <v>800</v>
      </c>
      <c r="I253" s="14">
        <v>1300</v>
      </c>
    </row>
    <row r="254" spans="1:9" ht="108" x14ac:dyDescent="0.25">
      <c r="A254" s="18">
        <f t="shared" si="143"/>
        <v>243</v>
      </c>
      <c r="B254" s="16" t="s">
        <v>249</v>
      </c>
      <c r="C254" s="17" t="s">
        <v>14</v>
      </c>
      <c r="D254" s="17" t="s">
        <v>238</v>
      </c>
      <c r="E254" s="17" t="s">
        <v>250</v>
      </c>
      <c r="F254" s="17"/>
      <c r="G254" s="14">
        <f>SUM(G255)</f>
        <v>737</v>
      </c>
      <c r="H254" s="14">
        <f t="shared" ref="H254:I254" si="148">SUM(H255)</f>
        <v>300</v>
      </c>
      <c r="I254" s="14">
        <f t="shared" si="148"/>
        <v>300</v>
      </c>
    </row>
    <row r="255" spans="1:9" ht="55.5" customHeight="1" x14ac:dyDescent="0.25">
      <c r="A255" s="18">
        <f t="shared" si="143"/>
        <v>244</v>
      </c>
      <c r="B255" s="16" t="s">
        <v>33</v>
      </c>
      <c r="C255" s="17" t="s">
        <v>14</v>
      </c>
      <c r="D255" s="17" t="s">
        <v>238</v>
      </c>
      <c r="E255" s="17" t="s">
        <v>250</v>
      </c>
      <c r="F255" s="17" t="s">
        <v>34</v>
      </c>
      <c r="G255" s="14">
        <f>717+20</f>
        <v>737</v>
      </c>
      <c r="H255" s="14">
        <v>300</v>
      </c>
      <c r="I255" s="14">
        <v>300</v>
      </c>
    </row>
    <row r="256" spans="1:9" ht="147.75" customHeight="1" x14ac:dyDescent="0.25">
      <c r="A256" s="18">
        <f t="shared" si="143"/>
        <v>245</v>
      </c>
      <c r="B256" s="16" t="s">
        <v>251</v>
      </c>
      <c r="C256" s="17" t="s">
        <v>14</v>
      </c>
      <c r="D256" s="17" t="s">
        <v>238</v>
      </c>
      <c r="E256" s="17" t="s">
        <v>252</v>
      </c>
      <c r="F256" s="17"/>
      <c r="G256" s="14">
        <f>SUM(G257)</f>
        <v>190</v>
      </c>
      <c r="H256" s="14">
        <f t="shared" ref="H256:I256" si="149">SUM(H257)</f>
        <v>190</v>
      </c>
      <c r="I256" s="14">
        <f t="shared" si="149"/>
        <v>190</v>
      </c>
    </row>
    <row r="257" spans="1:9" ht="57" customHeight="1" x14ac:dyDescent="0.25">
      <c r="A257" s="18">
        <f t="shared" si="143"/>
        <v>246</v>
      </c>
      <c r="B257" s="16" t="s">
        <v>33</v>
      </c>
      <c r="C257" s="17" t="s">
        <v>14</v>
      </c>
      <c r="D257" s="17" t="s">
        <v>238</v>
      </c>
      <c r="E257" s="17" t="s">
        <v>252</v>
      </c>
      <c r="F257" s="17" t="s">
        <v>34</v>
      </c>
      <c r="G257" s="14">
        <v>190</v>
      </c>
      <c r="H257" s="14">
        <v>190</v>
      </c>
      <c r="I257" s="14">
        <v>190</v>
      </c>
    </row>
    <row r="258" spans="1:9" ht="75" customHeight="1" x14ac:dyDescent="0.25">
      <c r="A258" s="18">
        <f t="shared" si="143"/>
        <v>247</v>
      </c>
      <c r="B258" s="16" t="s">
        <v>253</v>
      </c>
      <c r="C258" s="17" t="s">
        <v>14</v>
      </c>
      <c r="D258" s="17" t="s">
        <v>238</v>
      </c>
      <c r="E258" s="17" t="s">
        <v>254</v>
      </c>
      <c r="F258" s="17"/>
      <c r="G258" s="14">
        <f>SUM(G259+G261)</f>
        <v>2328.11</v>
      </c>
      <c r="H258" s="14">
        <f t="shared" ref="H258:I258" si="150">SUM(H259+H261)</f>
        <v>1000</v>
      </c>
      <c r="I258" s="14">
        <f t="shared" si="150"/>
        <v>1000</v>
      </c>
    </row>
    <row r="259" spans="1:9" ht="204.75" customHeight="1" x14ac:dyDescent="0.25">
      <c r="A259" s="18">
        <f t="shared" si="143"/>
        <v>248</v>
      </c>
      <c r="B259" s="16" t="s">
        <v>255</v>
      </c>
      <c r="C259" s="17" t="s">
        <v>14</v>
      </c>
      <c r="D259" s="17" t="s">
        <v>238</v>
      </c>
      <c r="E259" s="17" t="s">
        <v>256</v>
      </c>
      <c r="F259" s="17"/>
      <c r="G259" s="14">
        <f>SUM(G260)</f>
        <v>2090.61</v>
      </c>
      <c r="H259" s="14">
        <f t="shared" ref="H259:I259" si="151">SUM(H260)</f>
        <v>1000</v>
      </c>
      <c r="I259" s="14">
        <f t="shared" si="151"/>
        <v>1000</v>
      </c>
    </row>
    <row r="260" spans="1:9" ht="57" customHeight="1" x14ac:dyDescent="0.25">
      <c r="A260" s="18">
        <f t="shared" si="143"/>
        <v>249</v>
      </c>
      <c r="B260" s="16" t="s">
        <v>33</v>
      </c>
      <c r="C260" s="17" t="s">
        <v>14</v>
      </c>
      <c r="D260" s="17" t="s">
        <v>238</v>
      </c>
      <c r="E260" s="17" t="s">
        <v>256</v>
      </c>
      <c r="F260" s="17" t="s">
        <v>34</v>
      </c>
      <c r="G260" s="14">
        <f>2190.61-100</f>
        <v>2090.61</v>
      </c>
      <c r="H260" s="14">
        <v>1000</v>
      </c>
      <c r="I260" s="14">
        <v>1000</v>
      </c>
    </row>
    <row r="261" spans="1:9" ht="36" x14ac:dyDescent="0.25">
      <c r="A261" s="18">
        <f t="shared" si="143"/>
        <v>250</v>
      </c>
      <c r="B261" s="16" t="s">
        <v>257</v>
      </c>
      <c r="C261" s="17" t="s">
        <v>14</v>
      </c>
      <c r="D261" s="17" t="s">
        <v>238</v>
      </c>
      <c r="E261" s="17" t="s">
        <v>258</v>
      </c>
      <c r="F261" s="17"/>
      <c r="G261" s="14">
        <f>SUM(G262)</f>
        <v>237.5</v>
      </c>
      <c r="H261" s="14">
        <f t="shared" ref="H261:I261" si="152">SUM(H262)</f>
        <v>0</v>
      </c>
      <c r="I261" s="14">
        <f t="shared" si="152"/>
        <v>0</v>
      </c>
    </row>
    <row r="262" spans="1:9" ht="54.75" customHeight="1" x14ac:dyDescent="0.25">
      <c r="A262" s="18">
        <f t="shared" si="143"/>
        <v>251</v>
      </c>
      <c r="B262" s="16" t="s">
        <v>33</v>
      </c>
      <c r="C262" s="17" t="s">
        <v>14</v>
      </c>
      <c r="D262" s="17" t="s">
        <v>238</v>
      </c>
      <c r="E262" s="17" t="s">
        <v>258</v>
      </c>
      <c r="F262" s="17" t="s">
        <v>34</v>
      </c>
      <c r="G262" s="14">
        <f>500-262.5</f>
        <v>237.5</v>
      </c>
      <c r="H262" s="14">
        <v>0</v>
      </c>
      <c r="I262" s="14">
        <v>0</v>
      </c>
    </row>
    <row r="263" spans="1:9" ht="76.5" customHeight="1" x14ac:dyDescent="0.25">
      <c r="A263" s="18">
        <f t="shared" si="143"/>
        <v>252</v>
      </c>
      <c r="B263" s="16" t="s">
        <v>171</v>
      </c>
      <c r="C263" s="17" t="s">
        <v>14</v>
      </c>
      <c r="D263" s="17" t="s">
        <v>238</v>
      </c>
      <c r="E263" s="17" t="s">
        <v>172</v>
      </c>
      <c r="F263" s="17"/>
      <c r="G263" s="14">
        <f>SUM(G264+G269+G272)</f>
        <v>1576.5</v>
      </c>
      <c r="H263" s="14">
        <f t="shared" ref="H263:I263" si="153">SUM(H264+H269+H272)</f>
        <v>1656.5</v>
      </c>
      <c r="I263" s="14">
        <f t="shared" si="153"/>
        <v>1666.5</v>
      </c>
    </row>
    <row r="264" spans="1:9" ht="72" x14ac:dyDescent="0.25">
      <c r="A264" s="18">
        <f t="shared" si="143"/>
        <v>253</v>
      </c>
      <c r="B264" s="16" t="s">
        <v>259</v>
      </c>
      <c r="C264" s="17" t="s">
        <v>14</v>
      </c>
      <c r="D264" s="17" t="s">
        <v>238</v>
      </c>
      <c r="E264" s="17" t="s">
        <v>260</v>
      </c>
      <c r="F264" s="17"/>
      <c r="G264" s="14">
        <f>SUM(G265+G267)</f>
        <v>1076.5</v>
      </c>
      <c r="H264" s="14">
        <f t="shared" ref="H264:I264" si="154">SUM(H265+H267)</f>
        <v>1076.5</v>
      </c>
      <c r="I264" s="14">
        <f t="shared" si="154"/>
        <v>1076.5</v>
      </c>
    </row>
    <row r="265" spans="1:9" ht="72" x14ac:dyDescent="0.25">
      <c r="A265" s="18">
        <f t="shared" si="143"/>
        <v>254</v>
      </c>
      <c r="B265" s="16" t="s">
        <v>261</v>
      </c>
      <c r="C265" s="17" t="s">
        <v>14</v>
      </c>
      <c r="D265" s="17" t="s">
        <v>238</v>
      </c>
      <c r="E265" s="17" t="s">
        <v>262</v>
      </c>
      <c r="F265" s="17"/>
      <c r="G265" s="14">
        <f>SUM(G266)</f>
        <v>556.5</v>
      </c>
      <c r="H265" s="14">
        <f t="shared" ref="H265:I265" si="155">SUM(H266)</f>
        <v>556.5</v>
      </c>
      <c r="I265" s="14">
        <f t="shared" si="155"/>
        <v>556.5</v>
      </c>
    </row>
    <row r="266" spans="1:9" ht="108" x14ac:dyDescent="0.25">
      <c r="A266" s="18">
        <f t="shared" si="143"/>
        <v>255</v>
      </c>
      <c r="B266" s="16" t="s">
        <v>120</v>
      </c>
      <c r="C266" s="17" t="s">
        <v>14</v>
      </c>
      <c r="D266" s="17" t="s">
        <v>238</v>
      </c>
      <c r="E266" s="17" t="s">
        <v>262</v>
      </c>
      <c r="F266" s="17" t="s">
        <v>121</v>
      </c>
      <c r="G266" s="14">
        <v>556.5</v>
      </c>
      <c r="H266" s="14">
        <v>556.5</v>
      </c>
      <c r="I266" s="14">
        <v>556.5</v>
      </c>
    </row>
    <row r="267" spans="1:9" ht="111.75" customHeight="1" x14ac:dyDescent="0.25">
      <c r="A267" s="18">
        <f t="shared" si="143"/>
        <v>256</v>
      </c>
      <c r="B267" s="16" t="s">
        <v>263</v>
      </c>
      <c r="C267" s="17" t="s">
        <v>14</v>
      </c>
      <c r="D267" s="17" t="s">
        <v>238</v>
      </c>
      <c r="E267" s="17" t="s">
        <v>264</v>
      </c>
      <c r="F267" s="17"/>
      <c r="G267" s="14">
        <f>SUM(G268)</f>
        <v>520</v>
      </c>
      <c r="H267" s="14">
        <f t="shared" ref="H267:I267" si="156">SUM(H268)</f>
        <v>520</v>
      </c>
      <c r="I267" s="14">
        <f t="shared" si="156"/>
        <v>520</v>
      </c>
    </row>
    <row r="268" spans="1:9" ht="95.25" customHeight="1" x14ac:dyDescent="0.25">
      <c r="A268" s="18">
        <f t="shared" si="143"/>
        <v>257</v>
      </c>
      <c r="B268" s="16" t="s">
        <v>265</v>
      </c>
      <c r="C268" s="17" t="s">
        <v>14</v>
      </c>
      <c r="D268" s="17" t="s">
        <v>238</v>
      </c>
      <c r="E268" s="17" t="s">
        <v>264</v>
      </c>
      <c r="F268" s="17" t="s">
        <v>266</v>
      </c>
      <c r="G268" s="14">
        <v>520</v>
      </c>
      <c r="H268" s="14">
        <v>520</v>
      </c>
      <c r="I268" s="14">
        <v>520</v>
      </c>
    </row>
    <row r="269" spans="1:9" ht="70.5" customHeight="1" x14ac:dyDescent="0.25">
      <c r="A269" s="18">
        <f t="shared" si="143"/>
        <v>258</v>
      </c>
      <c r="B269" s="16" t="s">
        <v>173</v>
      </c>
      <c r="C269" s="17" t="s">
        <v>14</v>
      </c>
      <c r="D269" s="17" t="s">
        <v>238</v>
      </c>
      <c r="E269" s="17" t="s">
        <v>174</v>
      </c>
      <c r="F269" s="17"/>
      <c r="G269" s="14">
        <f>SUM(G270)</f>
        <v>500</v>
      </c>
      <c r="H269" s="14">
        <f t="shared" ref="H269:I269" si="157">SUM(H270)</f>
        <v>500</v>
      </c>
      <c r="I269" s="14">
        <f t="shared" si="157"/>
        <v>500</v>
      </c>
    </row>
    <row r="270" spans="1:9" ht="126" x14ac:dyDescent="0.25">
      <c r="A270" s="18">
        <f t="shared" si="143"/>
        <v>259</v>
      </c>
      <c r="B270" s="16" t="s">
        <v>267</v>
      </c>
      <c r="C270" s="17" t="s">
        <v>14</v>
      </c>
      <c r="D270" s="17" t="s">
        <v>238</v>
      </c>
      <c r="E270" s="17" t="s">
        <v>268</v>
      </c>
      <c r="F270" s="17"/>
      <c r="G270" s="14">
        <f>SUM(G271)</f>
        <v>500</v>
      </c>
      <c r="H270" s="14">
        <f t="shared" ref="H270:I270" si="158">SUM(H271)</f>
        <v>500</v>
      </c>
      <c r="I270" s="14">
        <f t="shared" si="158"/>
        <v>500</v>
      </c>
    </row>
    <row r="271" spans="1:9" ht="108" x14ac:dyDescent="0.25">
      <c r="A271" s="18">
        <f t="shared" si="143"/>
        <v>260</v>
      </c>
      <c r="B271" s="16" t="s">
        <v>120</v>
      </c>
      <c r="C271" s="17" t="s">
        <v>14</v>
      </c>
      <c r="D271" s="17" t="s">
        <v>238</v>
      </c>
      <c r="E271" s="17" t="s">
        <v>268</v>
      </c>
      <c r="F271" s="17" t="s">
        <v>121</v>
      </c>
      <c r="G271" s="14">
        <v>500</v>
      </c>
      <c r="H271" s="14">
        <v>500</v>
      </c>
      <c r="I271" s="14">
        <v>500</v>
      </c>
    </row>
    <row r="272" spans="1:9" ht="90" x14ac:dyDescent="0.25">
      <c r="A272" s="18">
        <f t="shared" si="143"/>
        <v>261</v>
      </c>
      <c r="B272" s="16" t="s">
        <v>766</v>
      </c>
      <c r="C272" s="17" t="s">
        <v>14</v>
      </c>
      <c r="D272" s="17" t="s">
        <v>238</v>
      </c>
      <c r="E272" s="17" t="s">
        <v>269</v>
      </c>
      <c r="F272" s="17"/>
      <c r="G272" s="14">
        <f>SUM(G273)</f>
        <v>0</v>
      </c>
      <c r="H272" s="14">
        <f t="shared" ref="H272:I272" si="159">SUM(H273)</f>
        <v>80</v>
      </c>
      <c r="I272" s="14">
        <f t="shared" si="159"/>
        <v>90</v>
      </c>
    </row>
    <row r="273" spans="1:9" ht="72" x14ac:dyDescent="0.25">
      <c r="A273" s="18">
        <f t="shared" si="143"/>
        <v>262</v>
      </c>
      <c r="B273" s="16" t="s">
        <v>270</v>
      </c>
      <c r="C273" s="17" t="s">
        <v>14</v>
      </c>
      <c r="D273" s="17" t="s">
        <v>238</v>
      </c>
      <c r="E273" s="17" t="s">
        <v>271</v>
      </c>
      <c r="F273" s="17"/>
      <c r="G273" s="14">
        <f>SUM(G274)</f>
        <v>0</v>
      </c>
      <c r="H273" s="14">
        <f t="shared" ref="H273:I273" si="160">SUM(H274)</f>
        <v>80</v>
      </c>
      <c r="I273" s="14">
        <f t="shared" si="160"/>
        <v>90</v>
      </c>
    </row>
    <row r="274" spans="1:9" ht="36" x14ac:dyDescent="0.25">
      <c r="A274" s="18">
        <f t="shared" si="143"/>
        <v>263</v>
      </c>
      <c r="B274" s="16" t="s">
        <v>272</v>
      </c>
      <c r="C274" s="17" t="s">
        <v>14</v>
      </c>
      <c r="D274" s="17" t="s">
        <v>238</v>
      </c>
      <c r="E274" s="17" t="s">
        <v>271</v>
      </c>
      <c r="F274" s="17" t="s">
        <v>273</v>
      </c>
      <c r="G274" s="14">
        <f>70-70</f>
        <v>0</v>
      </c>
      <c r="H274" s="14">
        <v>80</v>
      </c>
      <c r="I274" s="14">
        <v>90</v>
      </c>
    </row>
    <row r="275" spans="1:9" ht="36" x14ac:dyDescent="0.25">
      <c r="A275" s="19">
        <f t="shared" si="143"/>
        <v>264</v>
      </c>
      <c r="B275" s="20" t="s">
        <v>274</v>
      </c>
      <c r="C275" s="21" t="s">
        <v>14</v>
      </c>
      <c r="D275" s="21" t="s">
        <v>275</v>
      </c>
      <c r="E275" s="21"/>
      <c r="F275" s="21"/>
      <c r="G275" s="13">
        <f>SUM(G276+G306+G376+G426)</f>
        <v>633521.37</v>
      </c>
      <c r="H275" s="13">
        <f t="shared" ref="H275:I275" si="161">SUM(H276+H306+H376+H426)</f>
        <v>471568.43</v>
      </c>
      <c r="I275" s="13">
        <f t="shared" si="161"/>
        <v>337756.15999999997</v>
      </c>
    </row>
    <row r="276" spans="1:9" ht="18" x14ac:dyDescent="0.25">
      <c r="A276" s="19">
        <f t="shared" si="143"/>
        <v>265</v>
      </c>
      <c r="B276" s="20" t="s">
        <v>276</v>
      </c>
      <c r="C276" s="21" t="s">
        <v>14</v>
      </c>
      <c r="D276" s="21" t="s">
        <v>277</v>
      </c>
      <c r="E276" s="21"/>
      <c r="F276" s="21"/>
      <c r="G276" s="13">
        <f>SUM(G277+G294)</f>
        <v>194959.95</v>
      </c>
      <c r="H276" s="13">
        <f t="shared" ref="H276:I276" si="162">SUM(H277+H294)</f>
        <v>9422</v>
      </c>
      <c r="I276" s="13">
        <f t="shared" si="162"/>
        <v>9597.5</v>
      </c>
    </row>
    <row r="277" spans="1:9" ht="72.75" customHeight="1" x14ac:dyDescent="0.25">
      <c r="A277" s="18">
        <f t="shared" si="143"/>
        <v>266</v>
      </c>
      <c r="B277" s="16" t="s">
        <v>239</v>
      </c>
      <c r="C277" s="17" t="s">
        <v>14</v>
      </c>
      <c r="D277" s="17" t="s">
        <v>277</v>
      </c>
      <c r="E277" s="17" t="s">
        <v>240</v>
      </c>
      <c r="F277" s="17"/>
      <c r="G277" s="14">
        <f>SUM(G278)</f>
        <v>163691.15000000002</v>
      </c>
      <c r="H277" s="14">
        <f t="shared" ref="H277:I277" si="163">SUM(H278)</f>
        <v>1260</v>
      </c>
      <c r="I277" s="14">
        <f t="shared" si="163"/>
        <v>1435.5</v>
      </c>
    </row>
    <row r="278" spans="1:9" ht="72" x14ac:dyDescent="0.25">
      <c r="A278" s="18">
        <f t="shared" si="143"/>
        <v>267</v>
      </c>
      <c r="B278" s="16" t="s">
        <v>278</v>
      </c>
      <c r="C278" s="17" t="s">
        <v>14</v>
      </c>
      <c r="D278" s="17" t="s">
        <v>277</v>
      </c>
      <c r="E278" s="17" t="s">
        <v>279</v>
      </c>
      <c r="F278" s="17"/>
      <c r="G278" s="14">
        <f>SUM(G279+G281+G290+G284+G287)</f>
        <v>163691.15000000002</v>
      </c>
      <c r="H278" s="14">
        <f t="shared" ref="H278:I278" si="164">SUM(H279+H281+H290+H284+H287)</f>
        <v>1260</v>
      </c>
      <c r="I278" s="14">
        <f t="shared" si="164"/>
        <v>1435.5</v>
      </c>
    </row>
    <row r="279" spans="1:9" ht="36" x14ac:dyDescent="0.25">
      <c r="A279" s="18">
        <f t="shared" si="143"/>
        <v>268</v>
      </c>
      <c r="B279" s="16" t="s">
        <v>280</v>
      </c>
      <c r="C279" s="17" t="s">
        <v>14</v>
      </c>
      <c r="D279" s="17" t="s">
        <v>277</v>
      </c>
      <c r="E279" s="17" t="s">
        <v>281</v>
      </c>
      <c r="F279" s="17"/>
      <c r="G279" s="14">
        <f>SUM(G280)</f>
        <v>4996.8999999999996</v>
      </c>
      <c r="H279" s="14">
        <f t="shared" ref="H279:I279" si="165">SUM(H280)</f>
        <v>0</v>
      </c>
      <c r="I279" s="14">
        <f t="shared" si="165"/>
        <v>0</v>
      </c>
    </row>
    <row r="280" spans="1:9" ht="55.5" customHeight="1" x14ac:dyDescent="0.25">
      <c r="A280" s="18">
        <f t="shared" si="143"/>
        <v>269</v>
      </c>
      <c r="B280" s="16" t="s">
        <v>33</v>
      </c>
      <c r="C280" s="17" t="s">
        <v>14</v>
      </c>
      <c r="D280" s="17" t="s">
        <v>277</v>
      </c>
      <c r="E280" s="17" t="s">
        <v>281</v>
      </c>
      <c r="F280" s="17" t="s">
        <v>34</v>
      </c>
      <c r="G280" s="14">
        <v>4996.8999999999996</v>
      </c>
      <c r="H280" s="14">
        <v>0</v>
      </c>
      <c r="I280" s="14">
        <v>0</v>
      </c>
    </row>
    <row r="281" spans="1:9" ht="90" x14ac:dyDescent="0.25">
      <c r="A281" s="18">
        <f t="shared" si="143"/>
        <v>270</v>
      </c>
      <c r="B281" s="16" t="s">
        <v>282</v>
      </c>
      <c r="C281" s="17" t="s">
        <v>14</v>
      </c>
      <c r="D281" s="17" t="s">
        <v>277</v>
      </c>
      <c r="E281" s="17" t="s">
        <v>283</v>
      </c>
      <c r="F281" s="17"/>
      <c r="G281" s="14">
        <f>SUM(G282:G283)</f>
        <v>66967</v>
      </c>
      <c r="H281" s="14">
        <f t="shared" ref="H281:I281" si="166">SUM(H282:H283)</f>
        <v>1260</v>
      </c>
      <c r="I281" s="14">
        <f t="shared" si="166"/>
        <v>1435.5</v>
      </c>
    </row>
    <row r="282" spans="1:9" ht="18" x14ac:dyDescent="0.25">
      <c r="A282" s="18">
        <f t="shared" si="143"/>
        <v>271</v>
      </c>
      <c r="B282" s="16" t="s">
        <v>284</v>
      </c>
      <c r="C282" s="17" t="s">
        <v>14</v>
      </c>
      <c r="D282" s="17" t="s">
        <v>277</v>
      </c>
      <c r="E282" s="17" t="s">
        <v>283</v>
      </c>
      <c r="F282" s="17" t="s">
        <v>285</v>
      </c>
      <c r="G282" s="14">
        <f>62225-6245.91</f>
        <v>55979.09</v>
      </c>
      <c r="H282" s="14">
        <v>1260</v>
      </c>
      <c r="I282" s="14">
        <v>1435.5</v>
      </c>
    </row>
    <row r="283" spans="1:9" ht="36" x14ac:dyDescent="0.25">
      <c r="A283" s="18">
        <f t="shared" si="143"/>
        <v>272</v>
      </c>
      <c r="B283" s="16" t="s">
        <v>37</v>
      </c>
      <c r="C283" s="17" t="s">
        <v>14</v>
      </c>
      <c r="D283" s="17" t="s">
        <v>277</v>
      </c>
      <c r="E283" s="17" t="s">
        <v>283</v>
      </c>
      <c r="F283" s="17" t="s">
        <v>38</v>
      </c>
      <c r="G283" s="14">
        <f>7945.91+3042</f>
        <v>10987.91</v>
      </c>
      <c r="H283" s="14">
        <v>0</v>
      </c>
      <c r="I283" s="14">
        <v>0</v>
      </c>
    </row>
    <row r="284" spans="1:9" ht="90" x14ac:dyDescent="0.25">
      <c r="A284" s="18">
        <f t="shared" si="143"/>
        <v>273</v>
      </c>
      <c r="B284" s="16" t="s">
        <v>814</v>
      </c>
      <c r="C284" s="17" t="s">
        <v>14</v>
      </c>
      <c r="D284" s="17" t="s">
        <v>277</v>
      </c>
      <c r="E284" s="17" t="s">
        <v>813</v>
      </c>
      <c r="F284" s="17"/>
      <c r="G284" s="14">
        <f>SUM(G285:G286)</f>
        <v>88028.23000000001</v>
      </c>
      <c r="H284" s="14">
        <f t="shared" ref="H284:I284" si="167">SUM(H285:H286)</f>
        <v>0</v>
      </c>
      <c r="I284" s="14">
        <f t="shared" si="167"/>
        <v>0</v>
      </c>
    </row>
    <row r="285" spans="1:9" ht="18" x14ac:dyDescent="0.25">
      <c r="A285" s="18">
        <f t="shared" si="143"/>
        <v>274</v>
      </c>
      <c r="B285" s="16" t="s">
        <v>284</v>
      </c>
      <c r="C285" s="17" t="s">
        <v>14</v>
      </c>
      <c r="D285" s="17" t="s">
        <v>277</v>
      </c>
      <c r="E285" s="17" t="s">
        <v>813</v>
      </c>
      <c r="F285" s="17">
        <v>410</v>
      </c>
      <c r="G285" s="14">
        <f>41674.48+26353.75</f>
        <v>68028.23000000001</v>
      </c>
      <c r="H285" s="14">
        <v>0</v>
      </c>
      <c r="I285" s="14">
        <v>0</v>
      </c>
    </row>
    <row r="286" spans="1:9" ht="36" x14ac:dyDescent="0.25">
      <c r="A286" s="18">
        <f t="shared" si="143"/>
        <v>275</v>
      </c>
      <c r="B286" s="16" t="s">
        <v>37</v>
      </c>
      <c r="C286" s="17" t="s">
        <v>14</v>
      </c>
      <c r="D286" s="17" t="s">
        <v>277</v>
      </c>
      <c r="E286" s="17" t="s">
        <v>813</v>
      </c>
      <c r="F286" s="17">
        <v>850</v>
      </c>
      <c r="G286" s="14">
        <v>20000</v>
      </c>
      <c r="H286" s="14">
        <v>0</v>
      </c>
      <c r="I286" s="14">
        <v>0</v>
      </c>
    </row>
    <row r="287" spans="1:9" ht="36" x14ac:dyDescent="0.25">
      <c r="A287" s="18">
        <f t="shared" si="143"/>
        <v>276</v>
      </c>
      <c r="B287" s="16" t="s">
        <v>837</v>
      </c>
      <c r="C287" s="17" t="s">
        <v>14</v>
      </c>
      <c r="D287" s="17" t="s">
        <v>277</v>
      </c>
      <c r="E287" s="27" t="s">
        <v>836</v>
      </c>
      <c r="F287" s="17"/>
      <c r="G287" s="14">
        <f>SUM(G288:G289)</f>
        <v>2708.42</v>
      </c>
      <c r="H287" s="14">
        <f t="shared" ref="H287:I287" si="168">SUM(H288:H289)</f>
        <v>0</v>
      </c>
      <c r="I287" s="14">
        <f t="shared" si="168"/>
        <v>0</v>
      </c>
    </row>
    <row r="288" spans="1:9" ht="18" x14ac:dyDescent="0.25">
      <c r="A288" s="18">
        <f t="shared" si="143"/>
        <v>277</v>
      </c>
      <c r="B288" s="16" t="s">
        <v>284</v>
      </c>
      <c r="C288" s="17" t="s">
        <v>14</v>
      </c>
      <c r="D288" s="17" t="s">
        <v>277</v>
      </c>
      <c r="E288" s="27" t="s">
        <v>836</v>
      </c>
      <c r="F288" s="17">
        <v>410</v>
      </c>
      <c r="G288" s="14">
        <f>27489.99-25479.15</f>
        <v>2010.8400000000001</v>
      </c>
      <c r="H288" s="14">
        <v>0</v>
      </c>
      <c r="I288" s="14">
        <v>0</v>
      </c>
    </row>
    <row r="289" spans="1:9" ht="36" x14ac:dyDescent="0.25">
      <c r="A289" s="18">
        <f t="shared" si="143"/>
        <v>278</v>
      </c>
      <c r="B289" s="16" t="s">
        <v>37</v>
      </c>
      <c r="C289" s="17" t="s">
        <v>14</v>
      </c>
      <c r="D289" s="17" t="s">
        <v>277</v>
      </c>
      <c r="E289" s="27" t="s">
        <v>836</v>
      </c>
      <c r="F289" s="17">
        <v>850</v>
      </c>
      <c r="G289" s="14">
        <f>10000-9302.42</f>
        <v>697.57999999999993</v>
      </c>
      <c r="H289" s="14">
        <v>0</v>
      </c>
      <c r="I289" s="14">
        <v>0</v>
      </c>
    </row>
    <row r="290" spans="1:9" ht="36" x14ac:dyDescent="0.25">
      <c r="A290" s="18">
        <f t="shared" si="143"/>
        <v>279</v>
      </c>
      <c r="B290" s="16" t="s">
        <v>286</v>
      </c>
      <c r="C290" s="17" t="s">
        <v>14</v>
      </c>
      <c r="D290" s="17" t="s">
        <v>277</v>
      </c>
      <c r="E290" s="17" t="s">
        <v>287</v>
      </c>
      <c r="F290" s="17"/>
      <c r="G290" s="14">
        <f>SUM(G291:G293)</f>
        <v>990.60000000000036</v>
      </c>
      <c r="H290" s="14">
        <f t="shared" ref="H290:I290" si="169">SUM(H292:H293)</f>
        <v>0</v>
      </c>
      <c r="I290" s="14">
        <f t="shared" si="169"/>
        <v>0</v>
      </c>
    </row>
    <row r="291" spans="1:9" ht="72" x14ac:dyDescent="0.25">
      <c r="A291" s="18">
        <f t="shared" si="143"/>
        <v>280</v>
      </c>
      <c r="B291" s="16" t="s">
        <v>33</v>
      </c>
      <c r="C291" s="17" t="s">
        <v>14</v>
      </c>
      <c r="D291" s="17" t="s">
        <v>277</v>
      </c>
      <c r="E291" s="17" t="s">
        <v>287</v>
      </c>
      <c r="F291" s="17">
        <v>240</v>
      </c>
      <c r="G291" s="14">
        <v>9</v>
      </c>
      <c r="H291" s="14">
        <v>0</v>
      </c>
      <c r="I291" s="14">
        <v>0</v>
      </c>
    </row>
    <row r="292" spans="1:9" ht="18" x14ac:dyDescent="0.25">
      <c r="A292" s="18">
        <f t="shared" si="143"/>
        <v>281</v>
      </c>
      <c r="B292" s="16" t="s">
        <v>284</v>
      </c>
      <c r="C292" s="17" t="s">
        <v>14</v>
      </c>
      <c r="D292" s="17" t="s">
        <v>277</v>
      </c>
      <c r="E292" s="17" t="s">
        <v>287</v>
      </c>
      <c r="F292" s="17" t="s">
        <v>285</v>
      </c>
      <c r="G292" s="14">
        <f>4373.02-4000</f>
        <v>373.02000000000044</v>
      </c>
      <c r="H292" s="14">
        <v>0</v>
      </c>
      <c r="I292" s="14">
        <v>0</v>
      </c>
    </row>
    <row r="293" spans="1:9" ht="36" x14ac:dyDescent="0.25">
      <c r="A293" s="18">
        <f t="shared" si="143"/>
        <v>282</v>
      </c>
      <c r="B293" s="16" t="s">
        <v>37</v>
      </c>
      <c r="C293" s="17" t="s">
        <v>14</v>
      </c>
      <c r="D293" s="17" t="s">
        <v>277</v>
      </c>
      <c r="E293" s="17" t="s">
        <v>287</v>
      </c>
      <c r="F293" s="17" t="s">
        <v>38</v>
      </c>
      <c r="G293" s="14">
        <f>1617.58-1009</f>
        <v>608.57999999999993</v>
      </c>
      <c r="H293" s="14">
        <v>0</v>
      </c>
      <c r="I293" s="14">
        <v>0</v>
      </c>
    </row>
    <row r="294" spans="1:9" ht="94.5" customHeight="1" x14ac:dyDescent="0.25">
      <c r="A294" s="18">
        <f t="shared" si="143"/>
        <v>283</v>
      </c>
      <c r="B294" s="16" t="s">
        <v>163</v>
      </c>
      <c r="C294" s="17" t="s">
        <v>14</v>
      </c>
      <c r="D294" s="17" t="s">
        <v>277</v>
      </c>
      <c r="E294" s="17" t="s">
        <v>164</v>
      </c>
      <c r="F294" s="17"/>
      <c r="G294" s="14">
        <f>SUM(G295)</f>
        <v>31268.799999999999</v>
      </c>
      <c r="H294" s="14">
        <f t="shared" ref="H294:I294" si="170">SUM(H295)</f>
        <v>8162</v>
      </c>
      <c r="I294" s="14">
        <f t="shared" si="170"/>
        <v>8162</v>
      </c>
    </row>
    <row r="295" spans="1:9" ht="72" x14ac:dyDescent="0.25">
      <c r="A295" s="18">
        <f t="shared" si="143"/>
        <v>284</v>
      </c>
      <c r="B295" s="16" t="s">
        <v>288</v>
      </c>
      <c r="C295" s="17" t="s">
        <v>14</v>
      </c>
      <c r="D295" s="17" t="s">
        <v>277</v>
      </c>
      <c r="E295" s="17" t="s">
        <v>289</v>
      </c>
      <c r="F295" s="17"/>
      <c r="G295" s="14">
        <f>SUM(G296+G298+G300+G302+G304)</f>
        <v>31268.799999999999</v>
      </c>
      <c r="H295" s="14">
        <f t="shared" ref="H295:I295" si="171">SUM(H296+H298+H300+H302+H304)</f>
        <v>8162</v>
      </c>
      <c r="I295" s="14">
        <f t="shared" si="171"/>
        <v>8162</v>
      </c>
    </row>
    <row r="296" spans="1:9" ht="57.75" customHeight="1" x14ac:dyDescent="0.25">
      <c r="A296" s="18">
        <f t="shared" si="143"/>
        <v>285</v>
      </c>
      <c r="B296" s="16" t="s">
        <v>290</v>
      </c>
      <c r="C296" s="17" t="s">
        <v>14</v>
      </c>
      <c r="D296" s="17" t="s">
        <v>277</v>
      </c>
      <c r="E296" s="17" t="s">
        <v>291</v>
      </c>
      <c r="F296" s="17"/>
      <c r="G296" s="14">
        <f>SUM(G297)</f>
        <v>2290.4700000000003</v>
      </c>
      <c r="H296" s="14">
        <f t="shared" ref="H296:I296" si="172">SUM(H297)</f>
        <v>1500</v>
      </c>
      <c r="I296" s="14">
        <f t="shared" si="172"/>
        <v>1500</v>
      </c>
    </row>
    <row r="297" spans="1:9" ht="57.75" customHeight="1" x14ac:dyDescent="0.25">
      <c r="A297" s="18">
        <f t="shared" si="143"/>
        <v>286</v>
      </c>
      <c r="B297" s="16" t="s">
        <v>33</v>
      </c>
      <c r="C297" s="17" t="s">
        <v>14</v>
      </c>
      <c r="D297" s="17" t="s">
        <v>277</v>
      </c>
      <c r="E297" s="17" t="s">
        <v>291</v>
      </c>
      <c r="F297" s="17" t="s">
        <v>34</v>
      </c>
      <c r="G297" s="14">
        <f>2035.7+131.77+123</f>
        <v>2290.4700000000003</v>
      </c>
      <c r="H297" s="14">
        <v>1500</v>
      </c>
      <c r="I297" s="14">
        <v>1500</v>
      </c>
    </row>
    <row r="298" spans="1:9" ht="74.25" customHeight="1" x14ac:dyDescent="0.25">
      <c r="A298" s="18">
        <f t="shared" si="143"/>
        <v>287</v>
      </c>
      <c r="B298" s="16" t="s">
        <v>292</v>
      </c>
      <c r="C298" s="17" t="s">
        <v>14</v>
      </c>
      <c r="D298" s="17" t="s">
        <v>277</v>
      </c>
      <c r="E298" s="17" t="s">
        <v>293</v>
      </c>
      <c r="F298" s="17"/>
      <c r="G298" s="14">
        <f>SUM(G299)</f>
        <v>20966.3</v>
      </c>
      <c r="H298" s="14">
        <f t="shared" ref="H298:I298" si="173">SUM(H299)</f>
        <v>0</v>
      </c>
      <c r="I298" s="14">
        <f t="shared" si="173"/>
        <v>0</v>
      </c>
    </row>
    <row r="299" spans="1:9" ht="62.25" customHeight="1" x14ac:dyDescent="0.25">
      <c r="A299" s="18">
        <f t="shared" si="143"/>
        <v>288</v>
      </c>
      <c r="B299" s="16" t="s">
        <v>33</v>
      </c>
      <c r="C299" s="17" t="s">
        <v>14</v>
      </c>
      <c r="D299" s="17" t="s">
        <v>277</v>
      </c>
      <c r="E299" s="17" t="s">
        <v>293</v>
      </c>
      <c r="F299" s="17" t="s">
        <v>34</v>
      </c>
      <c r="G299" s="14">
        <v>20966.3</v>
      </c>
      <c r="H299" s="14">
        <v>0</v>
      </c>
      <c r="I299" s="14">
        <v>0</v>
      </c>
    </row>
    <row r="300" spans="1:9" ht="54" x14ac:dyDescent="0.25">
      <c r="A300" s="18">
        <f t="shared" si="143"/>
        <v>289</v>
      </c>
      <c r="B300" s="16" t="s">
        <v>294</v>
      </c>
      <c r="C300" s="17" t="s">
        <v>14</v>
      </c>
      <c r="D300" s="17" t="s">
        <v>277</v>
      </c>
      <c r="E300" s="17" t="s">
        <v>295</v>
      </c>
      <c r="F300" s="17"/>
      <c r="G300" s="14">
        <f>SUM(G301)</f>
        <v>100</v>
      </c>
      <c r="H300" s="14">
        <f t="shared" ref="H300:I300" si="174">SUM(H301)</f>
        <v>100</v>
      </c>
      <c r="I300" s="14">
        <f t="shared" si="174"/>
        <v>100</v>
      </c>
    </row>
    <row r="301" spans="1:9" ht="58.5" customHeight="1" x14ac:dyDescent="0.25">
      <c r="A301" s="18">
        <f t="shared" si="143"/>
        <v>290</v>
      </c>
      <c r="B301" s="16" t="s">
        <v>33</v>
      </c>
      <c r="C301" s="17" t="s">
        <v>14</v>
      </c>
      <c r="D301" s="17" t="s">
        <v>277</v>
      </c>
      <c r="E301" s="17" t="s">
        <v>295</v>
      </c>
      <c r="F301" s="17" t="s">
        <v>34</v>
      </c>
      <c r="G301" s="14">
        <v>100</v>
      </c>
      <c r="H301" s="14">
        <v>100</v>
      </c>
      <c r="I301" s="14">
        <v>100</v>
      </c>
    </row>
    <row r="302" spans="1:9" ht="149.25" customHeight="1" x14ac:dyDescent="0.25">
      <c r="A302" s="18">
        <f t="shared" si="143"/>
        <v>291</v>
      </c>
      <c r="B302" s="16" t="s">
        <v>296</v>
      </c>
      <c r="C302" s="17" t="s">
        <v>14</v>
      </c>
      <c r="D302" s="17" t="s">
        <v>277</v>
      </c>
      <c r="E302" s="17" t="s">
        <v>297</v>
      </c>
      <c r="F302" s="17"/>
      <c r="G302" s="14">
        <f>SUM(G303)</f>
        <v>5993.23</v>
      </c>
      <c r="H302" s="14">
        <f t="shared" ref="H302:I302" si="175">SUM(H303)</f>
        <v>6562</v>
      </c>
      <c r="I302" s="14">
        <f t="shared" si="175"/>
        <v>6562</v>
      </c>
    </row>
    <row r="303" spans="1:9" ht="57.75" customHeight="1" x14ac:dyDescent="0.25">
      <c r="A303" s="18">
        <f t="shared" si="143"/>
        <v>292</v>
      </c>
      <c r="B303" s="16" t="s">
        <v>33</v>
      </c>
      <c r="C303" s="17" t="s">
        <v>14</v>
      </c>
      <c r="D303" s="17" t="s">
        <v>277</v>
      </c>
      <c r="E303" s="17" t="s">
        <v>297</v>
      </c>
      <c r="F303" s="17" t="s">
        <v>34</v>
      </c>
      <c r="G303" s="14">
        <f>6307.23-314</f>
        <v>5993.23</v>
      </c>
      <c r="H303" s="14">
        <v>6562</v>
      </c>
      <c r="I303" s="14">
        <v>6562</v>
      </c>
    </row>
    <row r="304" spans="1:9" ht="90" x14ac:dyDescent="0.25">
      <c r="A304" s="18">
        <f t="shared" si="143"/>
        <v>293</v>
      </c>
      <c r="B304" s="16" t="s">
        <v>298</v>
      </c>
      <c r="C304" s="17" t="s">
        <v>14</v>
      </c>
      <c r="D304" s="17" t="s">
        <v>277</v>
      </c>
      <c r="E304" s="17" t="s">
        <v>299</v>
      </c>
      <c r="F304" s="17"/>
      <c r="G304" s="14">
        <f>SUM(G305)</f>
        <v>1918.8</v>
      </c>
      <c r="H304" s="14">
        <f t="shared" ref="H304:I304" si="176">SUM(H305)</f>
        <v>0</v>
      </c>
      <c r="I304" s="14">
        <f t="shared" si="176"/>
        <v>0</v>
      </c>
    </row>
    <row r="305" spans="1:9" ht="53.25" customHeight="1" x14ac:dyDescent="0.25">
      <c r="A305" s="18">
        <f t="shared" si="143"/>
        <v>294</v>
      </c>
      <c r="B305" s="16" t="s">
        <v>33</v>
      </c>
      <c r="C305" s="17" t="s">
        <v>14</v>
      </c>
      <c r="D305" s="17" t="s">
        <v>277</v>
      </c>
      <c r="E305" s="17" t="s">
        <v>299</v>
      </c>
      <c r="F305" s="17" t="s">
        <v>34</v>
      </c>
      <c r="G305" s="14">
        <v>1918.8</v>
      </c>
      <c r="H305" s="14">
        <v>0</v>
      </c>
      <c r="I305" s="14">
        <v>0</v>
      </c>
    </row>
    <row r="306" spans="1:9" ht="18" x14ac:dyDescent="0.25">
      <c r="A306" s="19">
        <f t="shared" si="143"/>
        <v>295</v>
      </c>
      <c r="B306" s="20" t="s">
        <v>300</v>
      </c>
      <c r="C306" s="21" t="s">
        <v>14</v>
      </c>
      <c r="D306" s="21" t="s">
        <v>301</v>
      </c>
      <c r="E306" s="21"/>
      <c r="F306" s="21"/>
      <c r="G306" s="13">
        <f>SUM(G307+G318+G367)</f>
        <v>237602.28000000003</v>
      </c>
      <c r="H306" s="13">
        <f t="shared" ref="H306:I306" si="177">SUM(H307+H318+H367)</f>
        <v>351859.75</v>
      </c>
      <c r="I306" s="13">
        <f t="shared" si="177"/>
        <v>130720.77</v>
      </c>
    </row>
    <row r="307" spans="1:9" ht="78" customHeight="1" x14ac:dyDescent="0.25">
      <c r="A307" s="18">
        <f t="shared" si="143"/>
        <v>296</v>
      </c>
      <c r="B307" s="16" t="s">
        <v>239</v>
      </c>
      <c r="C307" s="17" t="s">
        <v>14</v>
      </c>
      <c r="D307" s="17" t="s">
        <v>301</v>
      </c>
      <c r="E307" s="17" t="s">
        <v>240</v>
      </c>
      <c r="F307" s="17"/>
      <c r="G307" s="14">
        <f>SUM(G308)</f>
        <v>60863.520000000004</v>
      </c>
      <c r="H307" s="14">
        <f t="shared" ref="H307:I307" si="178">SUM(H308)</f>
        <v>24736.6</v>
      </c>
      <c r="I307" s="14">
        <f t="shared" si="178"/>
        <v>4131</v>
      </c>
    </row>
    <row r="308" spans="1:9" ht="40.5" customHeight="1" x14ac:dyDescent="0.25">
      <c r="A308" s="18">
        <f t="shared" si="143"/>
        <v>297</v>
      </c>
      <c r="B308" s="16" t="s">
        <v>302</v>
      </c>
      <c r="C308" s="17" t="s">
        <v>14</v>
      </c>
      <c r="D308" s="17" t="s">
        <v>301</v>
      </c>
      <c r="E308" s="17" t="s">
        <v>303</v>
      </c>
      <c r="F308" s="17"/>
      <c r="G308" s="14">
        <f>SUM(G309+G312+G314+G316)</f>
        <v>60863.520000000004</v>
      </c>
      <c r="H308" s="14">
        <f t="shared" ref="H308:I308" si="179">SUM(H309+H312+H314+H316)</f>
        <v>24736.6</v>
      </c>
      <c r="I308" s="14">
        <f t="shared" si="179"/>
        <v>4131</v>
      </c>
    </row>
    <row r="309" spans="1:9" ht="54" x14ac:dyDescent="0.25">
      <c r="A309" s="18">
        <f t="shared" si="143"/>
        <v>298</v>
      </c>
      <c r="B309" s="16" t="s">
        <v>304</v>
      </c>
      <c r="C309" s="17" t="s">
        <v>14</v>
      </c>
      <c r="D309" s="17" t="s">
        <v>301</v>
      </c>
      <c r="E309" s="17" t="s">
        <v>305</v>
      </c>
      <c r="F309" s="17"/>
      <c r="G309" s="14">
        <f>SUM(G310:G311)</f>
        <v>3674.6199999999994</v>
      </c>
      <c r="H309" s="14">
        <f t="shared" ref="H309:I309" si="180">SUM(H310:H311)</f>
        <v>3640.37</v>
      </c>
      <c r="I309" s="14">
        <f t="shared" si="180"/>
        <v>3731</v>
      </c>
    </row>
    <row r="310" spans="1:9" ht="56.25" customHeight="1" x14ac:dyDescent="0.25">
      <c r="A310" s="18">
        <f t="shared" si="143"/>
        <v>299</v>
      </c>
      <c r="B310" s="16" t="s">
        <v>33</v>
      </c>
      <c r="C310" s="17" t="s">
        <v>14</v>
      </c>
      <c r="D310" s="17" t="s">
        <v>301</v>
      </c>
      <c r="E310" s="17" t="s">
        <v>305</v>
      </c>
      <c r="F310" s="17" t="s">
        <v>34</v>
      </c>
      <c r="G310" s="14">
        <v>22.06</v>
      </c>
      <c r="H310" s="14">
        <f>4385.95-745.58</f>
        <v>3640.37</v>
      </c>
      <c r="I310" s="14">
        <v>3731</v>
      </c>
    </row>
    <row r="311" spans="1:9" ht="18" x14ac:dyDescent="0.25">
      <c r="A311" s="18">
        <f t="shared" si="143"/>
        <v>300</v>
      </c>
      <c r="B311" s="16" t="s">
        <v>284</v>
      </c>
      <c r="C311" s="17" t="s">
        <v>14</v>
      </c>
      <c r="D311" s="17" t="s">
        <v>301</v>
      </c>
      <c r="E311" s="17" t="s">
        <v>305</v>
      </c>
      <c r="F311" s="17" t="s">
        <v>285</v>
      </c>
      <c r="G311" s="14">
        <f>9371.46-5718.9</f>
        <v>3652.5599999999995</v>
      </c>
      <c r="H311" s="14">
        <f>1324.05-1324.05</f>
        <v>0</v>
      </c>
      <c r="I311" s="14">
        <v>0</v>
      </c>
    </row>
    <row r="312" spans="1:9" ht="72" x14ac:dyDescent="0.25">
      <c r="A312" s="18">
        <f t="shared" si="143"/>
        <v>301</v>
      </c>
      <c r="B312" s="16" t="s">
        <v>306</v>
      </c>
      <c r="C312" s="17" t="s">
        <v>14</v>
      </c>
      <c r="D312" s="17" t="s">
        <v>301</v>
      </c>
      <c r="E312" s="17" t="s">
        <v>307</v>
      </c>
      <c r="F312" s="17"/>
      <c r="G312" s="14">
        <f>SUM(G313)</f>
        <v>0</v>
      </c>
      <c r="H312" s="14">
        <f t="shared" ref="H312:I312" si="181">SUM(H313)</f>
        <v>400</v>
      </c>
      <c r="I312" s="14">
        <f t="shared" si="181"/>
        <v>400</v>
      </c>
    </row>
    <row r="313" spans="1:9" ht="57.75" customHeight="1" x14ac:dyDescent="0.25">
      <c r="A313" s="18">
        <f t="shared" si="143"/>
        <v>302</v>
      </c>
      <c r="B313" s="16" t="s">
        <v>33</v>
      </c>
      <c r="C313" s="17" t="s">
        <v>14</v>
      </c>
      <c r="D313" s="17" t="s">
        <v>301</v>
      </c>
      <c r="E313" s="17" t="s">
        <v>307</v>
      </c>
      <c r="F313" s="17" t="s">
        <v>34</v>
      </c>
      <c r="G313" s="14">
        <f>400-400</f>
        <v>0</v>
      </c>
      <c r="H313" s="14">
        <v>400</v>
      </c>
      <c r="I313" s="14">
        <v>400</v>
      </c>
    </row>
    <row r="314" spans="1:9" ht="57.75" customHeight="1" x14ac:dyDescent="0.25">
      <c r="A314" s="18">
        <f t="shared" si="143"/>
        <v>303</v>
      </c>
      <c r="B314" s="16" t="s">
        <v>858</v>
      </c>
      <c r="C314" s="17" t="s">
        <v>14</v>
      </c>
      <c r="D314" s="17" t="s">
        <v>301</v>
      </c>
      <c r="E314" s="27" t="s">
        <v>861</v>
      </c>
      <c r="F314" s="17"/>
      <c r="G314" s="14">
        <f>SUM(G315)</f>
        <v>51470</v>
      </c>
      <c r="H314" s="14">
        <f t="shared" ref="H314:I314" si="182">SUM(H315)</f>
        <v>18626.599999999999</v>
      </c>
      <c r="I314" s="14">
        <f t="shared" si="182"/>
        <v>0</v>
      </c>
    </row>
    <row r="315" spans="1:9" ht="24" customHeight="1" x14ac:dyDescent="0.25">
      <c r="A315" s="18">
        <f t="shared" si="143"/>
        <v>304</v>
      </c>
      <c r="B315" s="16" t="s">
        <v>859</v>
      </c>
      <c r="C315" s="17" t="s">
        <v>14</v>
      </c>
      <c r="D315" s="17" t="s">
        <v>301</v>
      </c>
      <c r="E315" s="27" t="s">
        <v>861</v>
      </c>
      <c r="F315" s="17">
        <v>410</v>
      </c>
      <c r="G315" s="14">
        <v>51470</v>
      </c>
      <c r="H315" s="14">
        <v>18626.599999999999</v>
      </c>
      <c r="I315" s="14">
        <v>0</v>
      </c>
    </row>
    <row r="316" spans="1:9" ht="57.75" customHeight="1" x14ac:dyDescent="0.25">
      <c r="A316" s="18">
        <f t="shared" si="143"/>
        <v>305</v>
      </c>
      <c r="B316" s="16" t="s">
        <v>860</v>
      </c>
      <c r="C316" s="17" t="s">
        <v>14</v>
      </c>
      <c r="D316" s="17" t="s">
        <v>301</v>
      </c>
      <c r="E316" s="27" t="s">
        <v>862</v>
      </c>
      <c r="F316" s="17"/>
      <c r="G316" s="14">
        <f>SUM(G317)</f>
        <v>5718.9</v>
      </c>
      <c r="H316" s="14">
        <f t="shared" ref="H316:I316" si="183">SUM(H317)</f>
        <v>2069.63</v>
      </c>
      <c r="I316" s="14">
        <f t="shared" si="183"/>
        <v>0</v>
      </c>
    </row>
    <row r="317" spans="1:9" ht="20.25" customHeight="1" x14ac:dyDescent="0.25">
      <c r="A317" s="18">
        <f t="shared" si="143"/>
        <v>306</v>
      </c>
      <c r="B317" s="16" t="s">
        <v>859</v>
      </c>
      <c r="C317" s="17" t="s">
        <v>14</v>
      </c>
      <c r="D317" s="17" t="s">
        <v>301</v>
      </c>
      <c r="E317" s="27" t="s">
        <v>862</v>
      </c>
      <c r="F317" s="17">
        <v>410</v>
      </c>
      <c r="G317" s="14">
        <v>5718.9</v>
      </c>
      <c r="H317" s="14">
        <v>2069.63</v>
      </c>
      <c r="I317" s="14">
        <v>0</v>
      </c>
    </row>
    <row r="318" spans="1:9" ht="91.5" customHeight="1" x14ac:dyDescent="0.25">
      <c r="A318" s="18">
        <f t="shared" si="143"/>
        <v>307</v>
      </c>
      <c r="B318" s="16" t="s">
        <v>163</v>
      </c>
      <c r="C318" s="17" t="s">
        <v>14</v>
      </c>
      <c r="D318" s="17" t="s">
        <v>301</v>
      </c>
      <c r="E318" s="17" t="s">
        <v>164</v>
      </c>
      <c r="F318" s="17"/>
      <c r="G318" s="14">
        <f>SUM(G319+G336+G339+G357+G361)</f>
        <v>154783.82</v>
      </c>
      <c r="H318" s="14">
        <f t="shared" ref="H318:I318" si="184">SUM(H319+H336+H339+H357+H361)</f>
        <v>327123.15000000002</v>
      </c>
      <c r="I318" s="14">
        <f t="shared" si="184"/>
        <v>126589.77</v>
      </c>
    </row>
    <row r="319" spans="1:9" ht="92.25" customHeight="1" x14ac:dyDescent="0.25">
      <c r="A319" s="18">
        <f t="shared" si="143"/>
        <v>308</v>
      </c>
      <c r="B319" s="16" t="s">
        <v>308</v>
      </c>
      <c r="C319" s="17" t="s">
        <v>14</v>
      </c>
      <c r="D319" s="17" t="s">
        <v>301</v>
      </c>
      <c r="E319" s="17" t="s">
        <v>309</v>
      </c>
      <c r="F319" s="17"/>
      <c r="G319" s="14">
        <f>SUM(G320+G322+G324+G326+G328+G330+G332+G334)</f>
        <v>9788.61</v>
      </c>
      <c r="H319" s="14">
        <f t="shared" ref="H319:I319" si="185">SUM(H320+H322+H324+H326+H328+H330+H332+H334)</f>
        <v>236272.92</v>
      </c>
      <c r="I319" s="14">
        <f t="shared" si="185"/>
        <v>61532.259999999995</v>
      </c>
    </row>
    <row r="320" spans="1:9" ht="58.5" customHeight="1" x14ac:dyDescent="0.25">
      <c r="A320" s="18">
        <f t="shared" si="143"/>
        <v>309</v>
      </c>
      <c r="B320" s="16" t="s">
        <v>310</v>
      </c>
      <c r="C320" s="17" t="s">
        <v>14</v>
      </c>
      <c r="D320" s="17" t="s">
        <v>301</v>
      </c>
      <c r="E320" s="17" t="s">
        <v>311</v>
      </c>
      <c r="F320" s="17"/>
      <c r="G320" s="14">
        <f>SUM(G321)</f>
        <v>2656.9300000000003</v>
      </c>
      <c r="H320" s="14">
        <f t="shared" ref="H320:I320" si="186">SUM(H321)</f>
        <v>156151.07</v>
      </c>
      <c r="I320" s="14">
        <f t="shared" si="186"/>
        <v>0</v>
      </c>
    </row>
    <row r="321" spans="1:9" ht="18" x14ac:dyDescent="0.25">
      <c r="A321" s="18">
        <f t="shared" si="143"/>
        <v>310</v>
      </c>
      <c r="B321" s="16" t="s">
        <v>284</v>
      </c>
      <c r="C321" s="17" t="s">
        <v>14</v>
      </c>
      <c r="D321" s="17" t="s">
        <v>301</v>
      </c>
      <c r="E321" s="17" t="s">
        <v>311</v>
      </c>
      <c r="F321" s="17" t="s">
        <v>285</v>
      </c>
      <c r="G321" s="14">
        <f>2214.11+442.82</f>
        <v>2656.9300000000003</v>
      </c>
      <c r="H321" s="14">
        <f>156593.89-442.82</f>
        <v>156151.07</v>
      </c>
      <c r="I321" s="14">
        <v>0</v>
      </c>
    </row>
    <row r="322" spans="1:9" ht="114.75" customHeight="1" x14ac:dyDescent="0.25">
      <c r="A322" s="18">
        <f t="shared" ref="A322:A399" si="187">SUM(A321+1)</f>
        <v>311</v>
      </c>
      <c r="B322" s="16" t="s">
        <v>312</v>
      </c>
      <c r="C322" s="17" t="s">
        <v>14</v>
      </c>
      <c r="D322" s="17" t="s">
        <v>301</v>
      </c>
      <c r="E322" s="17" t="s">
        <v>313</v>
      </c>
      <c r="F322" s="17"/>
      <c r="G322" s="14">
        <f>SUM(G323)</f>
        <v>2960</v>
      </c>
      <c r="H322" s="14">
        <f t="shared" ref="H322:I322" si="188">SUM(H323)</f>
        <v>1000</v>
      </c>
      <c r="I322" s="14">
        <f t="shared" si="188"/>
        <v>2500</v>
      </c>
    </row>
    <row r="323" spans="1:9" ht="18" x14ac:dyDescent="0.25">
      <c r="A323" s="18">
        <f t="shared" si="187"/>
        <v>312</v>
      </c>
      <c r="B323" s="16" t="s">
        <v>284</v>
      </c>
      <c r="C323" s="17" t="s">
        <v>14</v>
      </c>
      <c r="D323" s="17" t="s">
        <v>301</v>
      </c>
      <c r="E323" s="17" t="s">
        <v>313</v>
      </c>
      <c r="F323" s="17" t="s">
        <v>285</v>
      </c>
      <c r="G323" s="14">
        <f>4000-1040</f>
        <v>2960</v>
      </c>
      <c r="H323" s="14">
        <f>2500-1500</f>
        <v>1000</v>
      </c>
      <c r="I323" s="14">
        <v>2500</v>
      </c>
    </row>
    <row r="324" spans="1:9" ht="108" x14ac:dyDescent="0.25">
      <c r="A324" s="18">
        <f t="shared" si="187"/>
        <v>313</v>
      </c>
      <c r="B324" s="16" t="s">
        <v>314</v>
      </c>
      <c r="C324" s="17" t="s">
        <v>14</v>
      </c>
      <c r="D324" s="17" t="s">
        <v>301</v>
      </c>
      <c r="E324" s="17" t="s">
        <v>315</v>
      </c>
      <c r="F324" s="17"/>
      <c r="G324" s="14">
        <f>SUM(G325)</f>
        <v>45.900000000000006</v>
      </c>
      <c r="H324" s="14">
        <f t="shared" ref="H324:I324" si="189">SUM(H325)</f>
        <v>300</v>
      </c>
      <c r="I324" s="14">
        <f t="shared" si="189"/>
        <v>300</v>
      </c>
    </row>
    <row r="325" spans="1:9" ht="57" customHeight="1" x14ac:dyDescent="0.25">
      <c r="A325" s="18">
        <f t="shared" si="187"/>
        <v>314</v>
      </c>
      <c r="B325" s="16" t="s">
        <v>33</v>
      </c>
      <c r="C325" s="17" t="s">
        <v>14</v>
      </c>
      <c r="D325" s="17" t="s">
        <v>301</v>
      </c>
      <c r="E325" s="17" t="s">
        <v>315</v>
      </c>
      <c r="F325" s="17" t="s">
        <v>34</v>
      </c>
      <c r="G325" s="14">
        <f>300-254.1</f>
        <v>45.900000000000006</v>
      </c>
      <c r="H325" s="14">
        <v>300</v>
      </c>
      <c r="I325" s="14">
        <v>300</v>
      </c>
    </row>
    <row r="326" spans="1:9" ht="54" x14ac:dyDescent="0.25">
      <c r="A326" s="18">
        <f t="shared" si="187"/>
        <v>315</v>
      </c>
      <c r="B326" s="16" t="s">
        <v>316</v>
      </c>
      <c r="C326" s="17" t="s">
        <v>14</v>
      </c>
      <c r="D326" s="17" t="s">
        <v>301</v>
      </c>
      <c r="E326" s="17" t="s">
        <v>317</v>
      </c>
      <c r="F326" s="17"/>
      <c r="G326" s="14">
        <f>SUM(G327)</f>
        <v>714.14</v>
      </c>
      <c r="H326" s="14">
        <f t="shared" ref="H326:I326" si="190">SUM(H327)</f>
        <v>750</v>
      </c>
      <c r="I326" s="14">
        <f t="shared" si="190"/>
        <v>0</v>
      </c>
    </row>
    <row r="327" spans="1:9" ht="60" customHeight="1" x14ac:dyDescent="0.25">
      <c r="A327" s="18">
        <f t="shared" si="187"/>
        <v>316</v>
      </c>
      <c r="B327" s="16" t="s">
        <v>33</v>
      </c>
      <c r="C327" s="17" t="s">
        <v>14</v>
      </c>
      <c r="D327" s="17" t="s">
        <v>301</v>
      </c>
      <c r="E327" s="17" t="s">
        <v>317</v>
      </c>
      <c r="F327" s="17" t="s">
        <v>34</v>
      </c>
      <c r="G327" s="14">
        <f>750-35.86</f>
        <v>714.14</v>
      </c>
      <c r="H327" s="14">
        <v>750</v>
      </c>
      <c r="I327" s="14">
        <v>0</v>
      </c>
    </row>
    <row r="328" spans="1:9" ht="74.25" customHeight="1" x14ac:dyDescent="0.25">
      <c r="A328" s="18">
        <f t="shared" si="187"/>
        <v>317</v>
      </c>
      <c r="B328" s="16" t="s">
        <v>318</v>
      </c>
      <c r="C328" s="17" t="s">
        <v>14</v>
      </c>
      <c r="D328" s="17" t="s">
        <v>301</v>
      </c>
      <c r="E328" s="17" t="s">
        <v>319</v>
      </c>
      <c r="F328" s="17"/>
      <c r="G328" s="14">
        <f>SUM(G329)</f>
        <v>3198.2</v>
      </c>
      <c r="H328" s="14">
        <f t="shared" ref="H328:I328" si="191">SUM(H329)</f>
        <v>1644.21</v>
      </c>
      <c r="I328" s="14">
        <f t="shared" si="191"/>
        <v>3000</v>
      </c>
    </row>
    <row r="329" spans="1:9" ht="56.25" customHeight="1" x14ac:dyDescent="0.25">
      <c r="A329" s="18">
        <f t="shared" si="187"/>
        <v>318</v>
      </c>
      <c r="B329" s="16" t="s">
        <v>33</v>
      </c>
      <c r="C329" s="17" t="s">
        <v>14</v>
      </c>
      <c r="D329" s="17" t="s">
        <v>301</v>
      </c>
      <c r="E329" s="17" t="s">
        <v>319</v>
      </c>
      <c r="F329" s="17" t="s">
        <v>34</v>
      </c>
      <c r="G329" s="14">
        <f>2798.2+400</f>
        <v>3198.2</v>
      </c>
      <c r="H329" s="14">
        <f>3000-1355.79</f>
        <v>1644.21</v>
      </c>
      <c r="I329" s="14">
        <v>3000</v>
      </c>
    </row>
    <row r="330" spans="1:9" ht="57.75" customHeight="1" x14ac:dyDescent="0.25">
      <c r="A330" s="18">
        <f t="shared" si="187"/>
        <v>319</v>
      </c>
      <c r="B330" s="16" t="s">
        <v>320</v>
      </c>
      <c r="C330" s="17" t="s">
        <v>14</v>
      </c>
      <c r="D330" s="17" t="s">
        <v>301</v>
      </c>
      <c r="E330" s="17" t="s">
        <v>321</v>
      </c>
      <c r="F330" s="17"/>
      <c r="G330" s="14">
        <f>SUM(G331)</f>
        <v>213.43999999999994</v>
      </c>
      <c r="H330" s="14">
        <f t="shared" ref="H330:I330" si="192">SUM(H331)</f>
        <v>71427.640000000014</v>
      </c>
      <c r="I330" s="14">
        <f t="shared" si="192"/>
        <v>25732.26</v>
      </c>
    </row>
    <row r="331" spans="1:9" ht="92.25" customHeight="1" x14ac:dyDescent="0.25">
      <c r="A331" s="18">
        <f t="shared" si="187"/>
        <v>320</v>
      </c>
      <c r="B331" s="16" t="s">
        <v>265</v>
      </c>
      <c r="C331" s="17" t="s">
        <v>14</v>
      </c>
      <c r="D331" s="17" t="s">
        <v>301</v>
      </c>
      <c r="E331" s="17" t="s">
        <v>321</v>
      </c>
      <c r="F331" s="17" t="s">
        <v>266</v>
      </c>
      <c r="G331" s="14">
        <f>1056.26-842.82</f>
        <v>213.43999999999994</v>
      </c>
      <c r="H331" s="14">
        <f>70984.82+442.82</f>
        <v>71427.640000000014</v>
      </c>
      <c r="I331" s="14">
        <v>25732.26</v>
      </c>
    </row>
    <row r="332" spans="1:9" ht="92.25" customHeight="1" x14ac:dyDescent="0.25">
      <c r="A332" s="18">
        <f t="shared" si="187"/>
        <v>321</v>
      </c>
      <c r="B332" s="16" t="s">
        <v>322</v>
      </c>
      <c r="C332" s="17" t="s">
        <v>14</v>
      </c>
      <c r="D332" s="17" t="s">
        <v>301</v>
      </c>
      <c r="E332" s="17" t="s">
        <v>323</v>
      </c>
      <c r="F332" s="17"/>
      <c r="G332" s="14">
        <f>SUM(G333)</f>
        <v>0</v>
      </c>
      <c r="H332" s="14">
        <f t="shared" ref="H332:I332" si="193">SUM(H333)</f>
        <v>5000</v>
      </c>
      <c r="I332" s="14">
        <f t="shared" si="193"/>
        <v>0</v>
      </c>
    </row>
    <row r="333" spans="1:9" ht="18" x14ac:dyDescent="0.25">
      <c r="A333" s="18">
        <f t="shared" si="187"/>
        <v>322</v>
      </c>
      <c r="B333" s="16" t="s">
        <v>284</v>
      </c>
      <c r="C333" s="17" t="s">
        <v>14</v>
      </c>
      <c r="D333" s="17" t="s">
        <v>301</v>
      </c>
      <c r="E333" s="17" t="s">
        <v>323</v>
      </c>
      <c r="F333" s="17" t="s">
        <v>285</v>
      </c>
      <c r="G333" s="14">
        <v>0</v>
      </c>
      <c r="H333" s="14">
        <v>5000</v>
      </c>
      <c r="I333" s="14">
        <v>0</v>
      </c>
    </row>
    <row r="334" spans="1:9" ht="76.5" customHeight="1" x14ac:dyDescent="0.25">
      <c r="A334" s="18">
        <f t="shared" si="187"/>
        <v>323</v>
      </c>
      <c r="B334" s="16" t="s">
        <v>324</v>
      </c>
      <c r="C334" s="17" t="s">
        <v>14</v>
      </c>
      <c r="D334" s="17" t="s">
        <v>301</v>
      </c>
      <c r="E334" s="17" t="s">
        <v>325</v>
      </c>
      <c r="F334" s="17"/>
      <c r="G334" s="14">
        <f>SUM(G335)</f>
        <v>0</v>
      </c>
      <c r="H334" s="14">
        <f t="shared" ref="H334:I334" si="194">SUM(H335)</f>
        <v>0</v>
      </c>
      <c r="I334" s="14">
        <f t="shared" si="194"/>
        <v>30000</v>
      </c>
    </row>
    <row r="335" spans="1:9" ht="18" x14ac:dyDescent="0.25">
      <c r="A335" s="18">
        <f t="shared" si="187"/>
        <v>324</v>
      </c>
      <c r="B335" s="16" t="s">
        <v>284</v>
      </c>
      <c r="C335" s="17" t="s">
        <v>14</v>
      </c>
      <c r="D335" s="17" t="s">
        <v>301</v>
      </c>
      <c r="E335" s="17" t="s">
        <v>325</v>
      </c>
      <c r="F335" s="17" t="s">
        <v>285</v>
      </c>
      <c r="G335" s="14">
        <v>0</v>
      </c>
      <c r="H335" s="14">
        <v>0</v>
      </c>
      <c r="I335" s="14">
        <v>30000</v>
      </c>
    </row>
    <row r="336" spans="1:9" ht="72" x14ac:dyDescent="0.25">
      <c r="A336" s="18">
        <f t="shared" si="187"/>
        <v>325</v>
      </c>
      <c r="B336" s="16" t="s">
        <v>288</v>
      </c>
      <c r="C336" s="17" t="s">
        <v>14</v>
      </c>
      <c r="D336" s="17" t="s">
        <v>301</v>
      </c>
      <c r="E336" s="17" t="s">
        <v>289</v>
      </c>
      <c r="F336" s="17"/>
      <c r="G336" s="14">
        <f>SUM(G337)</f>
        <v>9123.6</v>
      </c>
      <c r="H336" s="14">
        <f t="shared" ref="H336:I336" si="195">SUM(H337)</f>
        <v>5654.1</v>
      </c>
      <c r="I336" s="14">
        <f t="shared" si="195"/>
        <v>5654.1</v>
      </c>
    </row>
    <row r="337" spans="1:9" ht="148.5" customHeight="1" x14ac:dyDescent="0.25">
      <c r="A337" s="18">
        <f t="shared" si="187"/>
        <v>326</v>
      </c>
      <c r="B337" s="16" t="s">
        <v>326</v>
      </c>
      <c r="C337" s="17" t="s">
        <v>14</v>
      </c>
      <c r="D337" s="17" t="s">
        <v>301</v>
      </c>
      <c r="E337" s="17" t="s">
        <v>327</v>
      </c>
      <c r="F337" s="17"/>
      <c r="G337" s="14">
        <f>SUM(G338)</f>
        <v>9123.6</v>
      </c>
      <c r="H337" s="14">
        <f t="shared" ref="H337:I337" si="196">SUM(H338)</f>
        <v>5654.1</v>
      </c>
      <c r="I337" s="14">
        <f t="shared" si="196"/>
        <v>5654.1</v>
      </c>
    </row>
    <row r="338" spans="1:9" ht="93" customHeight="1" x14ac:dyDescent="0.25">
      <c r="A338" s="18">
        <f t="shared" si="187"/>
        <v>327</v>
      </c>
      <c r="B338" s="16" t="s">
        <v>265</v>
      </c>
      <c r="C338" s="17" t="s">
        <v>14</v>
      </c>
      <c r="D338" s="17" t="s">
        <v>301</v>
      </c>
      <c r="E338" s="17" t="s">
        <v>327</v>
      </c>
      <c r="F338" s="17" t="s">
        <v>266</v>
      </c>
      <c r="G338" s="14">
        <f>5980.3+3143.3</f>
        <v>9123.6</v>
      </c>
      <c r="H338" s="14">
        <v>5654.1</v>
      </c>
      <c r="I338" s="14">
        <v>5654.1</v>
      </c>
    </row>
    <row r="339" spans="1:9" ht="72" customHeight="1" x14ac:dyDescent="0.25">
      <c r="A339" s="18">
        <f t="shared" si="187"/>
        <v>328</v>
      </c>
      <c r="B339" s="16" t="s">
        <v>328</v>
      </c>
      <c r="C339" s="17" t="s">
        <v>14</v>
      </c>
      <c r="D339" s="17" t="s">
        <v>301</v>
      </c>
      <c r="E339" s="17" t="s">
        <v>329</v>
      </c>
      <c r="F339" s="17"/>
      <c r="G339" s="14">
        <f>SUM(G340+G342+G344+G346+G348+G351+G353+G355)</f>
        <v>123325.46</v>
      </c>
      <c r="H339" s="14">
        <f t="shared" ref="H339:I339" si="197">SUM(H340+H342+H344+H346+H348+H351+H353+H355)</f>
        <v>71172.67</v>
      </c>
      <c r="I339" s="14">
        <f t="shared" si="197"/>
        <v>49147.67</v>
      </c>
    </row>
    <row r="340" spans="1:9" ht="150.75" customHeight="1" x14ac:dyDescent="0.25">
      <c r="A340" s="18">
        <f t="shared" si="187"/>
        <v>329</v>
      </c>
      <c r="B340" s="16" t="s">
        <v>330</v>
      </c>
      <c r="C340" s="17" t="s">
        <v>14</v>
      </c>
      <c r="D340" s="17" t="s">
        <v>301</v>
      </c>
      <c r="E340" s="17" t="s">
        <v>331</v>
      </c>
      <c r="F340" s="17"/>
      <c r="G340" s="14">
        <f>SUM(G341)</f>
        <v>16945.760000000002</v>
      </c>
      <c r="H340" s="14">
        <f t="shared" ref="H340:I340" si="198">SUM(H341)</f>
        <v>5000</v>
      </c>
      <c r="I340" s="14">
        <f t="shared" si="198"/>
        <v>8000</v>
      </c>
    </row>
    <row r="341" spans="1:9" ht="58.5" customHeight="1" x14ac:dyDescent="0.25">
      <c r="A341" s="18">
        <f t="shared" si="187"/>
        <v>330</v>
      </c>
      <c r="B341" s="16" t="s">
        <v>33</v>
      </c>
      <c r="C341" s="17" t="s">
        <v>14</v>
      </c>
      <c r="D341" s="17" t="s">
        <v>301</v>
      </c>
      <c r="E341" s="17" t="s">
        <v>331</v>
      </c>
      <c r="F341" s="17" t="s">
        <v>34</v>
      </c>
      <c r="G341" s="14">
        <f>15945.76+1000</f>
        <v>16945.760000000002</v>
      </c>
      <c r="H341" s="14">
        <v>5000</v>
      </c>
      <c r="I341" s="14">
        <v>8000</v>
      </c>
    </row>
    <row r="342" spans="1:9" ht="54" x14ac:dyDescent="0.25">
      <c r="A342" s="18">
        <f t="shared" si="187"/>
        <v>331</v>
      </c>
      <c r="B342" s="16" t="s">
        <v>332</v>
      </c>
      <c r="C342" s="17" t="s">
        <v>14</v>
      </c>
      <c r="D342" s="17" t="s">
        <v>301</v>
      </c>
      <c r="E342" s="17" t="s">
        <v>333</v>
      </c>
      <c r="F342" s="17"/>
      <c r="G342" s="14">
        <f>SUM(G343)</f>
        <v>3103.8</v>
      </c>
      <c r="H342" s="14">
        <f t="shared" ref="H342:I342" si="199">SUM(H343)</f>
        <v>1000</v>
      </c>
      <c r="I342" s="14">
        <f t="shared" si="199"/>
        <v>1000</v>
      </c>
    </row>
    <row r="343" spans="1:9" ht="57.75" customHeight="1" x14ac:dyDescent="0.25">
      <c r="A343" s="18">
        <f t="shared" si="187"/>
        <v>332</v>
      </c>
      <c r="B343" s="16" t="s">
        <v>33</v>
      </c>
      <c r="C343" s="17" t="s">
        <v>14</v>
      </c>
      <c r="D343" s="17" t="s">
        <v>301</v>
      </c>
      <c r="E343" s="17" t="s">
        <v>333</v>
      </c>
      <c r="F343" s="17" t="s">
        <v>34</v>
      </c>
      <c r="G343" s="14">
        <f>2241.8+862</f>
        <v>3103.8</v>
      </c>
      <c r="H343" s="14">
        <v>1000</v>
      </c>
      <c r="I343" s="14">
        <v>1000</v>
      </c>
    </row>
    <row r="344" spans="1:9" ht="132.75" customHeight="1" x14ac:dyDescent="0.25">
      <c r="A344" s="18">
        <f t="shared" si="187"/>
        <v>333</v>
      </c>
      <c r="B344" s="16" t="s">
        <v>334</v>
      </c>
      <c r="C344" s="17" t="s">
        <v>14</v>
      </c>
      <c r="D344" s="17" t="s">
        <v>301</v>
      </c>
      <c r="E344" s="17" t="s">
        <v>335</v>
      </c>
      <c r="F344" s="17"/>
      <c r="G344" s="14">
        <f>SUM(G345)</f>
        <v>40937</v>
      </c>
      <c r="H344" s="14">
        <f t="shared" ref="H344:I344" si="200">SUM(H345)</f>
        <v>0</v>
      </c>
      <c r="I344" s="14">
        <f t="shared" si="200"/>
        <v>0</v>
      </c>
    </row>
    <row r="345" spans="1:9" ht="18" x14ac:dyDescent="0.25">
      <c r="A345" s="18">
        <f t="shared" si="187"/>
        <v>334</v>
      </c>
      <c r="B345" s="16" t="s">
        <v>284</v>
      </c>
      <c r="C345" s="17" t="s">
        <v>14</v>
      </c>
      <c r="D345" s="17" t="s">
        <v>301</v>
      </c>
      <c r="E345" s="17" t="s">
        <v>335</v>
      </c>
      <c r="F345" s="17" t="s">
        <v>285</v>
      </c>
      <c r="G345" s="14">
        <v>40937</v>
      </c>
      <c r="H345" s="14">
        <v>0</v>
      </c>
      <c r="I345" s="14">
        <v>0</v>
      </c>
    </row>
    <row r="346" spans="1:9" ht="90" x14ac:dyDescent="0.25">
      <c r="A346" s="18">
        <f t="shared" si="187"/>
        <v>335</v>
      </c>
      <c r="B346" s="16" t="s">
        <v>336</v>
      </c>
      <c r="C346" s="17" t="s">
        <v>14</v>
      </c>
      <c r="D346" s="17" t="s">
        <v>301</v>
      </c>
      <c r="E346" s="17" t="s">
        <v>337</v>
      </c>
      <c r="F346" s="17"/>
      <c r="G346" s="14">
        <f>SUM(G347)</f>
        <v>14345</v>
      </c>
      <c r="H346" s="14">
        <f t="shared" ref="H346:I346" si="201">SUM(H347)</f>
        <v>0</v>
      </c>
      <c r="I346" s="14">
        <f t="shared" si="201"/>
        <v>0</v>
      </c>
    </row>
    <row r="347" spans="1:9" ht="18" x14ac:dyDescent="0.25">
      <c r="A347" s="18">
        <f t="shared" si="187"/>
        <v>336</v>
      </c>
      <c r="B347" s="16" t="s">
        <v>284</v>
      </c>
      <c r="C347" s="17" t="s">
        <v>14</v>
      </c>
      <c r="D347" s="17" t="s">
        <v>301</v>
      </c>
      <c r="E347" s="17" t="s">
        <v>337</v>
      </c>
      <c r="F347" s="17" t="s">
        <v>285</v>
      </c>
      <c r="G347" s="14">
        <v>14345</v>
      </c>
      <c r="H347" s="14">
        <v>0</v>
      </c>
      <c r="I347" s="14">
        <v>0</v>
      </c>
    </row>
    <row r="348" spans="1:9" ht="54" x14ac:dyDescent="0.25">
      <c r="A348" s="18">
        <f t="shared" si="187"/>
        <v>337</v>
      </c>
      <c r="B348" s="16" t="s">
        <v>338</v>
      </c>
      <c r="C348" s="17" t="s">
        <v>14</v>
      </c>
      <c r="D348" s="17" t="s">
        <v>301</v>
      </c>
      <c r="E348" s="17" t="s">
        <v>339</v>
      </c>
      <c r="F348" s="17"/>
      <c r="G348" s="14">
        <f>SUM(G350+G349)</f>
        <v>26953.600000000002</v>
      </c>
      <c r="H348" s="14">
        <f t="shared" ref="H348:I348" si="202">SUM(H350)</f>
        <v>0</v>
      </c>
      <c r="I348" s="14">
        <f t="shared" si="202"/>
        <v>0</v>
      </c>
    </row>
    <row r="349" spans="1:9" ht="72" x14ac:dyDescent="0.25">
      <c r="A349" s="18">
        <f t="shared" si="187"/>
        <v>338</v>
      </c>
      <c r="B349" s="16" t="s">
        <v>33</v>
      </c>
      <c r="C349" s="17" t="s">
        <v>14</v>
      </c>
      <c r="D349" s="17" t="s">
        <v>301</v>
      </c>
      <c r="E349" s="17" t="s">
        <v>339</v>
      </c>
      <c r="F349" s="17">
        <v>240</v>
      </c>
      <c r="G349" s="14">
        <v>24659.47</v>
      </c>
      <c r="H349" s="14">
        <v>0</v>
      </c>
      <c r="I349" s="14">
        <v>0</v>
      </c>
    </row>
    <row r="350" spans="1:9" ht="18" x14ac:dyDescent="0.25">
      <c r="A350" s="18">
        <f t="shared" si="187"/>
        <v>339</v>
      </c>
      <c r="B350" s="16" t="s">
        <v>284</v>
      </c>
      <c r="C350" s="17" t="s">
        <v>14</v>
      </c>
      <c r="D350" s="17" t="s">
        <v>301</v>
      </c>
      <c r="E350" s="17" t="s">
        <v>339</v>
      </c>
      <c r="F350" s="17" t="s">
        <v>285</v>
      </c>
      <c r="G350" s="14">
        <f>1594.13+700</f>
        <v>2294.13</v>
      </c>
      <c r="H350" s="14">
        <v>0</v>
      </c>
      <c r="I350" s="14">
        <v>0</v>
      </c>
    </row>
    <row r="351" spans="1:9" ht="90" x14ac:dyDescent="0.25">
      <c r="A351" s="18">
        <f t="shared" si="187"/>
        <v>340</v>
      </c>
      <c r="B351" s="16" t="s">
        <v>795</v>
      </c>
      <c r="C351" s="17" t="s">
        <v>14</v>
      </c>
      <c r="D351" s="17" t="s">
        <v>301</v>
      </c>
      <c r="E351" s="17" t="s">
        <v>356</v>
      </c>
      <c r="F351" s="17"/>
      <c r="G351" s="14">
        <f>SUM(G352)</f>
        <v>18171.2</v>
      </c>
      <c r="H351" s="14">
        <f t="shared" ref="H351:I351" si="203">SUM(H352)</f>
        <v>58655.4</v>
      </c>
      <c r="I351" s="14">
        <f t="shared" si="203"/>
        <v>36132.9</v>
      </c>
    </row>
    <row r="352" spans="1:9" ht="58.5" customHeight="1" x14ac:dyDescent="0.25">
      <c r="A352" s="18">
        <f t="shared" si="187"/>
        <v>341</v>
      </c>
      <c r="B352" s="16" t="s">
        <v>33</v>
      </c>
      <c r="C352" s="17" t="s">
        <v>14</v>
      </c>
      <c r="D352" s="17" t="s">
        <v>301</v>
      </c>
      <c r="E352" s="17" t="s">
        <v>356</v>
      </c>
      <c r="F352" s="17">
        <v>240</v>
      </c>
      <c r="G352" s="14">
        <v>18171.2</v>
      </c>
      <c r="H352" s="14">
        <v>58655.4</v>
      </c>
      <c r="I352" s="14">
        <v>36132.9</v>
      </c>
    </row>
    <row r="353" spans="1:9" ht="90" x14ac:dyDescent="0.25">
      <c r="A353" s="18">
        <f t="shared" si="187"/>
        <v>342</v>
      </c>
      <c r="B353" s="16" t="s">
        <v>795</v>
      </c>
      <c r="C353" s="17" t="s">
        <v>14</v>
      </c>
      <c r="D353" s="17" t="s">
        <v>301</v>
      </c>
      <c r="E353" s="17" t="s">
        <v>357</v>
      </c>
      <c r="F353" s="17"/>
      <c r="G353" s="14">
        <f>SUM(G354)</f>
        <v>2019.1</v>
      </c>
      <c r="H353" s="14">
        <f t="shared" ref="H353:I353" si="204">SUM(H354)</f>
        <v>6517.27</v>
      </c>
      <c r="I353" s="14">
        <f t="shared" si="204"/>
        <v>4014.77</v>
      </c>
    </row>
    <row r="354" spans="1:9" ht="57.75" customHeight="1" x14ac:dyDescent="0.25">
      <c r="A354" s="18">
        <f t="shared" si="187"/>
        <v>343</v>
      </c>
      <c r="B354" s="16" t="s">
        <v>33</v>
      </c>
      <c r="C354" s="17" t="s">
        <v>14</v>
      </c>
      <c r="D354" s="17" t="s">
        <v>301</v>
      </c>
      <c r="E354" s="17" t="s">
        <v>357</v>
      </c>
      <c r="F354" s="17">
        <v>240</v>
      </c>
      <c r="G354" s="14">
        <v>2019.1</v>
      </c>
      <c r="H354" s="14">
        <v>6517.27</v>
      </c>
      <c r="I354" s="14">
        <v>4014.77</v>
      </c>
    </row>
    <row r="355" spans="1:9" ht="190.5" customHeight="1" x14ac:dyDescent="0.25">
      <c r="A355" s="18">
        <f t="shared" si="187"/>
        <v>344</v>
      </c>
      <c r="B355" s="16" t="s">
        <v>888</v>
      </c>
      <c r="C355" s="17" t="s">
        <v>14</v>
      </c>
      <c r="D355" s="17" t="s">
        <v>301</v>
      </c>
      <c r="E355" s="27" t="s">
        <v>887</v>
      </c>
      <c r="F355" s="17"/>
      <c r="G355" s="14">
        <f>SUM(G356)</f>
        <v>850</v>
      </c>
      <c r="H355" s="14">
        <f t="shared" ref="H355:I355" si="205">SUM(H356)</f>
        <v>0</v>
      </c>
      <c r="I355" s="14">
        <f t="shared" si="205"/>
        <v>0</v>
      </c>
    </row>
    <row r="356" spans="1:9" ht="90.75" customHeight="1" x14ac:dyDescent="0.25">
      <c r="A356" s="18">
        <f t="shared" si="187"/>
        <v>345</v>
      </c>
      <c r="B356" s="16" t="s">
        <v>265</v>
      </c>
      <c r="C356" s="17" t="s">
        <v>14</v>
      </c>
      <c r="D356" s="17" t="s">
        <v>301</v>
      </c>
      <c r="E356" s="27" t="s">
        <v>887</v>
      </c>
      <c r="F356" s="17">
        <v>810</v>
      </c>
      <c r="G356" s="14">
        <v>850</v>
      </c>
      <c r="H356" s="14">
        <v>0</v>
      </c>
      <c r="I356" s="14">
        <v>0</v>
      </c>
    </row>
    <row r="357" spans="1:9" ht="41.25" customHeight="1" x14ac:dyDescent="0.25">
      <c r="A357" s="18">
        <f t="shared" si="187"/>
        <v>346</v>
      </c>
      <c r="B357" s="16" t="s">
        <v>165</v>
      </c>
      <c r="C357" s="17" t="s">
        <v>14</v>
      </c>
      <c r="D357" s="17" t="s">
        <v>301</v>
      </c>
      <c r="E357" s="17" t="s">
        <v>166</v>
      </c>
      <c r="F357" s="17"/>
      <c r="G357" s="14">
        <f>SUM(G358)</f>
        <v>9114.15</v>
      </c>
      <c r="H357" s="14">
        <f t="shared" ref="H357:I357" si="206">SUM(H358)</f>
        <v>9220.4599999999991</v>
      </c>
      <c r="I357" s="14">
        <f t="shared" si="206"/>
        <v>5356.74</v>
      </c>
    </row>
    <row r="358" spans="1:9" ht="37.5" customHeight="1" x14ac:dyDescent="0.25">
      <c r="A358" s="18">
        <f t="shared" si="187"/>
        <v>347</v>
      </c>
      <c r="B358" s="16" t="s">
        <v>340</v>
      </c>
      <c r="C358" s="17" t="s">
        <v>14</v>
      </c>
      <c r="D358" s="17" t="s">
        <v>301</v>
      </c>
      <c r="E358" s="17" t="s">
        <v>341</v>
      </c>
      <c r="F358" s="17"/>
      <c r="G358" s="14">
        <f>SUM(G359:G360)</f>
        <v>9114.15</v>
      </c>
      <c r="H358" s="14">
        <f t="shared" ref="H358:I358" si="207">SUM(H359:H360)</f>
        <v>9220.4599999999991</v>
      </c>
      <c r="I358" s="14">
        <f t="shared" si="207"/>
        <v>5356.74</v>
      </c>
    </row>
    <row r="359" spans="1:9" ht="57.75" customHeight="1" x14ac:dyDescent="0.25">
      <c r="A359" s="18">
        <f t="shared" si="187"/>
        <v>348</v>
      </c>
      <c r="B359" s="16" t="s">
        <v>33</v>
      </c>
      <c r="C359" s="17" t="s">
        <v>14</v>
      </c>
      <c r="D359" s="17" t="s">
        <v>301</v>
      </c>
      <c r="E359" s="17" t="s">
        <v>341</v>
      </c>
      <c r="F359" s="17" t="s">
        <v>34</v>
      </c>
      <c r="G359" s="14">
        <v>4000</v>
      </c>
      <c r="H359" s="14">
        <v>4000</v>
      </c>
      <c r="I359" s="14">
        <v>0</v>
      </c>
    </row>
    <row r="360" spans="1:9" ht="36" x14ac:dyDescent="0.25">
      <c r="A360" s="18">
        <f t="shared" si="187"/>
        <v>349</v>
      </c>
      <c r="B360" s="16" t="s">
        <v>157</v>
      </c>
      <c r="C360" s="17" t="s">
        <v>14</v>
      </c>
      <c r="D360" s="17" t="s">
        <v>301</v>
      </c>
      <c r="E360" s="17" t="s">
        <v>341</v>
      </c>
      <c r="F360" s="17" t="s">
        <v>158</v>
      </c>
      <c r="G360" s="14">
        <v>5114.1499999999996</v>
      </c>
      <c r="H360" s="14">
        <v>5220.46</v>
      </c>
      <c r="I360" s="14">
        <v>5356.74</v>
      </c>
    </row>
    <row r="361" spans="1:9" ht="49.5" x14ac:dyDescent="0.25">
      <c r="A361" s="18">
        <f t="shared" si="187"/>
        <v>350</v>
      </c>
      <c r="B361" s="29" t="s">
        <v>342</v>
      </c>
      <c r="C361" s="30" t="s">
        <v>14</v>
      </c>
      <c r="D361" s="30" t="s">
        <v>301</v>
      </c>
      <c r="E361" s="30" t="s">
        <v>343</v>
      </c>
      <c r="F361" s="30"/>
      <c r="G361" s="31">
        <f>SUM(G362+G364)</f>
        <v>3432</v>
      </c>
      <c r="H361" s="31">
        <f t="shared" ref="H361:I361" si="208">SUM(H362+H364)</f>
        <v>4803</v>
      </c>
      <c r="I361" s="31">
        <f t="shared" si="208"/>
        <v>4899</v>
      </c>
    </row>
    <row r="362" spans="1:9" ht="49.5" x14ac:dyDescent="0.25">
      <c r="A362" s="18">
        <f t="shared" si="187"/>
        <v>351</v>
      </c>
      <c r="B362" s="29" t="s">
        <v>344</v>
      </c>
      <c r="C362" s="30" t="s">
        <v>14</v>
      </c>
      <c r="D362" s="30" t="s">
        <v>301</v>
      </c>
      <c r="E362" s="30" t="s">
        <v>345</v>
      </c>
      <c r="F362" s="30"/>
      <c r="G362" s="31">
        <f>SUM(G363)</f>
        <v>500</v>
      </c>
      <c r="H362" s="31">
        <f t="shared" ref="H362:I362" si="209">SUM(H363)</f>
        <v>500</v>
      </c>
      <c r="I362" s="31">
        <f t="shared" si="209"/>
        <v>500</v>
      </c>
    </row>
    <row r="363" spans="1:9" ht="18" x14ac:dyDescent="0.25">
      <c r="A363" s="18">
        <f t="shared" si="187"/>
        <v>352</v>
      </c>
      <c r="B363" s="29" t="s">
        <v>157</v>
      </c>
      <c r="C363" s="30" t="s">
        <v>14</v>
      </c>
      <c r="D363" s="30" t="s">
        <v>301</v>
      </c>
      <c r="E363" s="30" t="s">
        <v>345</v>
      </c>
      <c r="F363" s="30" t="s">
        <v>158</v>
      </c>
      <c r="G363" s="31">
        <v>500</v>
      </c>
      <c r="H363" s="31">
        <v>500</v>
      </c>
      <c r="I363" s="31">
        <v>500</v>
      </c>
    </row>
    <row r="364" spans="1:9" ht="66" x14ac:dyDescent="0.25">
      <c r="A364" s="18">
        <f t="shared" si="187"/>
        <v>353</v>
      </c>
      <c r="B364" s="29" t="s">
        <v>346</v>
      </c>
      <c r="C364" s="30" t="s">
        <v>14</v>
      </c>
      <c r="D364" s="30" t="s">
        <v>301</v>
      </c>
      <c r="E364" s="30" t="s">
        <v>347</v>
      </c>
      <c r="F364" s="30"/>
      <c r="G364" s="31">
        <f>SUM(G365:G366)</f>
        <v>2932</v>
      </c>
      <c r="H364" s="31">
        <f t="shared" ref="H364:I364" si="210">SUM(H365)</f>
        <v>4303</v>
      </c>
      <c r="I364" s="31">
        <f t="shared" si="210"/>
        <v>4399</v>
      </c>
    </row>
    <row r="365" spans="1:9" ht="60" customHeight="1" x14ac:dyDescent="0.25">
      <c r="A365" s="18">
        <f t="shared" si="187"/>
        <v>354</v>
      </c>
      <c r="B365" s="29" t="s">
        <v>33</v>
      </c>
      <c r="C365" s="30" t="s">
        <v>14</v>
      </c>
      <c r="D365" s="30" t="s">
        <v>301</v>
      </c>
      <c r="E365" s="30" t="s">
        <v>347</v>
      </c>
      <c r="F365" s="30" t="s">
        <v>34</v>
      </c>
      <c r="G365" s="31">
        <f>2232</f>
        <v>2232</v>
      </c>
      <c r="H365" s="31">
        <v>4303</v>
      </c>
      <c r="I365" s="31">
        <v>4399</v>
      </c>
    </row>
    <row r="366" spans="1:9" ht="39" customHeight="1" x14ac:dyDescent="0.25">
      <c r="A366" s="18">
        <f t="shared" si="187"/>
        <v>355</v>
      </c>
      <c r="B366" s="29" t="s">
        <v>157</v>
      </c>
      <c r="C366" s="30" t="s">
        <v>14</v>
      </c>
      <c r="D366" s="30" t="s">
        <v>301</v>
      </c>
      <c r="E366" s="30" t="s">
        <v>347</v>
      </c>
      <c r="F366" s="30">
        <v>610</v>
      </c>
      <c r="G366" s="31">
        <v>700</v>
      </c>
      <c r="H366" s="31">
        <v>0</v>
      </c>
      <c r="I366" s="31">
        <v>0</v>
      </c>
    </row>
    <row r="367" spans="1:9" ht="18" x14ac:dyDescent="0.25">
      <c r="A367" s="18">
        <f t="shared" si="187"/>
        <v>356</v>
      </c>
      <c r="B367" s="16" t="s">
        <v>811</v>
      </c>
      <c r="C367" s="17" t="s">
        <v>14</v>
      </c>
      <c r="D367" s="17" t="s">
        <v>301</v>
      </c>
      <c r="E367" s="17" t="s">
        <v>45</v>
      </c>
      <c r="F367" s="17"/>
      <c r="G367" s="14">
        <f>SUM(G368+G374+G372+G370)</f>
        <v>21954.94</v>
      </c>
      <c r="H367" s="14">
        <f t="shared" ref="H367:I367" si="211">SUM(H368+H374+H372+H370)</f>
        <v>0</v>
      </c>
      <c r="I367" s="14">
        <f t="shared" si="211"/>
        <v>0</v>
      </c>
    </row>
    <row r="368" spans="1:9" ht="54" x14ac:dyDescent="0.25">
      <c r="A368" s="18">
        <f t="shared" si="187"/>
        <v>357</v>
      </c>
      <c r="B368" s="16" t="s">
        <v>348</v>
      </c>
      <c r="C368" s="17" t="s">
        <v>14</v>
      </c>
      <c r="D368" s="17" t="s">
        <v>301</v>
      </c>
      <c r="E368" s="17" t="s">
        <v>349</v>
      </c>
      <c r="F368" s="17"/>
      <c r="G368" s="14">
        <f>SUM(G369)</f>
        <v>18000</v>
      </c>
      <c r="H368" s="14">
        <f t="shared" ref="H368:I368" si="212">SUM(H369)</f>
        <v>0</v>
      </c>
      <c r="I368" s="14">
        <f t="shared" si="212"/>
        <v>0</v>
      </c>
    </row>
    <row r="369" spans="1:9" ht="93" customHeight="1" x14ac:dyDescent="0.25">
      <c r="A369" s="18">
        <f t="shared" si="187"/>
        <v>358</v>
      </c>
      <c r="B369" s="16" t="s">
        <v>350</v>
      </c>
      <c r="C369" s="17" t="s">
        <v>14</v>
      </c>
      <c r="D369" s="17" t="s">
        <v>301</v>
      </c>
      <c r="E369" s="17" t="s">
        <v>349</v>
      </c>
      <c r="F369" s="17" t="s">
        <v>351</v>
      </c>
      <c r="G369" s="14">
        <f>12000+6000</f>
        <v>18000</v>
      </c>
      <c r="H369" s="14">
        <v>0</v>
      </c>
      <c r="I369" s="14">
        <v>0</v>
      </c>
    </row>
    <row r="370" spans="1:9" ht="93" customHeight="1" x14ac:dyDescent="0.25">
      <c r="A370" s="18">
        <f t="shared" si="187"/>
        <v>359</v>
      </c>
      <c r="B370" s="16" t="s">
        <v>886</v>
      </c>
      <c r="C370" s="17" t="s">
        <v>14</v>
      </c>
      <c r="D370" s="17" t="s">
        <v>301</v>
      </c>
      <c r="E370" s="27" t="s">
        <v>882</v>
      </c>
      <c r="F370" s="17"/>
      <c r="G370" s="14">
        <f>SUM(G371)</f>
        <v>59.46</v>
      </c>
      <c r="H370" s="14">
        <f t="shared" ref="H370:I370" si="213">SUM(H371)</f>
        <v>0</v>
      </c>
      <c r="I370" s="14">
        <f t="shared" si="213"/>
        <v>0</v>
      </c>
    </row>
    <row r="371" spans="1:9" ht="38.25" customHeight="1" x14ac:dyDescent="0.25">
      <c r="A371" s="18">
        <f t="shared" si="187"/>
        <v>360</v>
      </c>
      <c r="B371" s="16" t="s">
        <v>157</v>
      </c>
      <c r="C371" s="17" t="s">
        <v>14</v>
      </c>
      <c r="D371" s="17" t="s">
        <v>301</v>
      </c>
      <c r="E371" s="27" t="s">
        <v>882</v>
      </c>
      <c r="F371" s="17">
        <v>610</v>
      </c>
      <c r="G371" s="14">
        <v>59.46</v>
      </c>
      <c r="H371" s="14">
        <v>0</v>
      </c>
      <c r="I371" s="14">
        <v>0</v>
      </c>
    </row>
    <row r="372" spans="1:9" ht="71.25" customHeight="1" x14ac:dyDescent="0.25">
      <c r="A372" s="18">
        <f t="shared" si="187"/>
        <v>361</v>
      </c>
      <c r="B372" s="16" t="s">
        <v>815</v>
      </c>
      <c r="C372" s="17" t="s">
        <v>14</v>
      </c>
      <c r="D372" s="17" t="s">
        <v>301</v>
      </c>
      <c r="E372" s="17">
        <v>7000142800</v>
      </c>
      <c r="F372" s="17"/>
      <c r="G372" s="14">
        <f>SUM(G373)</f>
        <v>3877.5</v>
      </c>
      <c r="H372" s="14">
        <f t="shared" ref="H372:I372" si="214">SUM(H373)</f>
        <v>0</v>
      </c>
      <c r="I372" s="14">
        <f t="shared" si="214"/>
        <v>0</v>
      </c>
    </row>
    <row r="373" spans="1:9" ht="93" customHeight="1" x14ac:dyDescent="0.25">
      <c r="A373" s="18">
        <f t="shared" si="187"/>
        <v>362</v>
      </c>
      <c r="B373" s="16" t="s">
        <v>350</v>
      </c>
      <c r="C373" s="17" t="s">
        <v>14</v>
      </c>
      <c r="D373" s="17" t="s">
        <v>301</v>
      </c>
      <c r="E373" s="17">
        <v>7000142800</v>
      </c>
      <c r="F373" s="17">
        <v>840</v>
      </c>
      <c r="G373" s="14">
        <v>3877.5</v>
      </c>
      <c r="H373" s="14">
        <v>0</v>
      </c>
      <c r="I373" s="14">
        <v>0</v>
      </c>
    </row>
    <row r="374" spans="1:9" ht="54" customHeight="1" x14ac:dyDescent="0.25">
      <c r="A374" s="18">
        <f t="shared" si="187"/>
        <v>363</v>
      </c>
      <c r="B374" s="16" t="s">
        <v>798</v>
      </c>
      <c r="C374" s="17" t="s">
        <v>14</v>
      </c>
      <c r="D374" s="17" t="s">
        <v>301</v>
      </c>
      <c r="E374" s="17">
        <v>7000107000</v>
      </c>
      <c r="F374" s="17"/>
      <c r="G374" s="14">
        <f>SUM(G375)</f>
        <v>17.98</v>
      </c>
      <c r="H374" s="14">
        <f t="shared" ref="H374:I374" si="215">SUM(H375)</f>
        <v>0</v>
      </c>
      <c r="I374" s="14">
        <f t="shared" si="215"/>
        <v>0</v>
      </c>
    </row>
    <row r="375" spans="1:9" ht="41.25" customHeight="1" x14ac:dyDescent="0.25">
      <c r="A375" s="18">
        <f t="shared" si="187"/>
        <v>364</v>
      </c>
      <c r="B375" s="16" t="s">
        <v>797</v>
      </c>
      <c r="C375" s="17" t="s">
        <v>14</v>
      </c>
      <c r="D375" s="17" t="s">
        <v>301</v>
      </c>
      <c r="E375" s="17">
        <v>7000107000</v>
      </c>
      <c r="F375" s="17">
        <v>850</v>
      </c>
      <c r="G375" s="14">
        <v>17.98</v>
      </c>
      <c r="H375" s="14">
        <v>0</v>
      </c>
      <c r="I375" s="14">
        <v>0</v>
      </c>
    </row>
    <row r="376" spans="1:9" ht="18" x14ac:dyDescent="0.25">
      <c r="A376" s="19">
        <f t="shared" si="187"/>
        <v>365</v>
      </c>
      <c r="B376" s="20" t="s">
        <v>352</v>
      </c>
      <c r="C376" s="21" t="s">
        <v>14</v>
      </c>
      <c r="D376" s="21" t="s">
        <v>353</v>
      </c>
      <c r="E376" s="21"/>
      <c r="F376" s="21"/>
      <c r="G376" s="13">
        <f>SUM(G377+G407+G423)</f>
        <v>182377.86999999997</v>
      </c>
      <c r="H376" s="13">
        <f t="shared" ref="H376:I376" si="216">SUM(H377+H407+H423)</f>
        <v>94883.72</v>
      </c>
      <c r="I376" s="13">
        <f t="shared" si="216"/>
        <v>181668.22</v>
      </c>
    </row>
    <row r="377" spans="1:9" ht="95.25" customHeight="1" x14ac:dyDescent="0.25">
      <c r="A377" s="18">
        <f t="shared" si="187"/>
        <v>366</v>
      </c>
      <c r="B377" s="16" t="s">
        <v>163</v>
      </c>
      <c r="C377" s="17" t="s">
        <v>14</v>
      </c>
      <c r="D377" s="17" t="s">
        <v>353</v>
      </c>
      <c r="E377" s="17" t="s">
        <v>164</v>
      </c>
      <c r="F377" s="17"/>
      <c r="G377" s="14">
        <f>SUM(G378+G385+G400)</f>
        <v>82298.459999999992</v>
      </c>
      <c r="H377" s="14">
        <f t="shared" ref="H377:I377" si="217">SUM(H378+H385+H400)</f>
        <v>73516.23</v>
      </c>
      <c r="I377" s="14">
        <f t="shared" si="217"/>
        <v>72283.3</v>
      </c>
    </row>
    <row r="378" spans="1:9" ht="74.25" customHeight="1" x14ac:dyDescent="0.25">
      <c r="A378" s="18">
        <f t="shared" si="187"/>
        <v>367</v>
      </c>
      <c r="B378" s="16" t="s">
        <v>328</v>
      </c>
      <c r="C378" s="17" t="s">
        <v>14</v>
      </c>
      <c r="D378" s="17" t="s">
        <v>353</v>
      </c>
      <c r="E378" s="17" t="s">
        <v>329</v>
      </c>
      <c r="F378" s="17"/>
      <c r="G378" s="14">
        <f>SUM(G379+G381+G383)</f>
        <v>3700</v>
      </c>
      <c r="H378" s="14">
        <f t="shared" ref="H378:I378" si="218">SUM(H379+H381+H383)</f>
        <v>1000</v>
      </c>
      <c r="I378" s="14">
        <f t="shared" si="218"/>
        <v>0</v>
      </c>
    </row>
    <row r="379" spans="1:9" ht="111.75" customHeight="1" x14ac:dyDescent="0.25">
      <c r="A379" s="18">
        <f t="shared" si="187"/>
        <v>368</v>
      </c>
      <c r="B379" s="16" t="s">
        <v>354</v>
      </c>
      <c r="C379" s="17" t="s">
        <v>14</v>
      </c>
      <c r="D379" s="17" t="s">
        <v>353</v>
      </c>
      <c r="E379" s="17" t="s">
        <v>355</v>
      </c>
      <c r="F379" s="17"/>
      <c r="G379" s="14">
        <f>SUM(G380)</f>
        <v>3700</v>
      </c>
      <c r="H379" s="14">
        <f t="shared" ref="H379:I379" si="219">SUM(H380)</f>
        <v>1000</v>
      </c>
      <c r="I379" s="14">
        <f t="shared" si="219"/>
        <v>0</v>
      </c>
    </row>
    <row r="380" spans="1:9" ht="57.75" customHeight="1" x14ac:dyDescent="0.25">
      <c r="A380" s="18">
        <f t="shared" si="187"/>
        <v>369</v>
      </c>
      <c r="B380" s="16" t="s">
        <v>33</v>
      </c>
      <c r="C380" s="17" t="s">
        <v>14</v>
      </c>
      <c r="D380" s="17" t="s">
        <v>353</v>
      </c>
      <c r="E380" s="17" t="s">
        <v>355</v>
      </c>
      <c r="F380" s="17" t="s">
        <v>34</v>
      </c>
      <c r="G380" s="14">
        <v>3700</v>
      </c>
      <c r="H380" s="14">
        <v>1000</v>
      </c>
      <c r="I380" s="14">
        <v>0</v>
      </c>
    </row>
    <row r="381" spans="1:9" ht="90" x14ac:dyDescent="0.25">
      <c r="A381" s="18">
        <f t="shared" si="187"/>
        <v>370</v>
      </c>
      <c r="B381" s="16" t="s">
        <v>796</v>
      </c>
      <c r="C381" s="17" t="s">
        <v>14</v>
      </c>
      <c r="D381" s="17" t="s">
        <v>353</v>
      </c>
      <c r="E381" s="17" t="s">
        <v>356</v>
      </c>
      <c r="F381" s="17"/>
      <c r="G381" s="14">
        <f>SUM(G382)</f>
        <v>0</v>
      </c>
      <c r="H381" s="14">
        <f t="shared" ref="H381:I381" si="220">SUM(H382)</f>
        <v>0</v>
      </c>
      <c r="I381" s="14">
        <f t="shared" si="220"/>
        <v>0</v>
      </c>
    </row>
    <row r="382" spans="1:9" ht="18" x14ac:dyDescent="0.25">
      <c r="A382" s="18">
        <f t="shared" si="187"/>
        <v>371</v>
      </c>
      <c r="B382" s="16" t="s">
        <v>284</v>
      </c>
      <c r="C382" s="17" t="s">
        <v>14</v>
      </c>
      <c r="D382" s="17" t="s">
        <v>353</v>
      </c>
      <c r="E382" s="17" t="s">
        <v>356</v>
      </c>
      <c r="F382" s="17" t="s">
        <v>285</v>
      </c>
      <c r="G382" s="14">
        <v>0</v>
      </c>
      <c r="H382" s="14">
        <f>58655.4-58655.4</f>
        <v>0</v>
      </c>
      <c r="I382" s="14">
        <f>36132.9-36132.9</f>
        <v>0</v>
      </c>
    </row>
    <row r="383" spans="1:9" ht="90" x14ac:dyDescent="0.25">
      <c r="A383" s="18">
        <f t="shared" si="187"/>
        <v>372</v>
      </c>
      <c r="B383" s="16" t="s">
        <v>795</v>
      </c>
      <c r="C383" s="17" t="s">
        <v>14</v>
      </c>
      <c r="D383" s="17" t="s">
        <v>353</v>
      </c>
      <c r="E383" s="17" t="s">
        <v>357</v>
      </c>
      <c r="F383" s="17"/>
      <c r="G383" s="14">
        <f>SUM(G384)</f>
        <v>0</v>
      </c>
      <c r="H383" s="14">
        <f t="shared" ref="H383:I383" si="221">SUM(H384)</f>
        <v>0</v>
      </c>
      <c r="I383" s="14">
        <f t="shared" si="221"/>
        <v>0</v>
      </c>
    </row>
    <row r="384" spans="1:9" ht="18" x14ac:dyDescent="0.25">
      <c r="A384" s="18">
        <f t="shared" si="187"/>
        <v>373</v>
      </c>
      <c r="B384" s="16" t="s">
        <v>284</v>
      </c>
      <c r="C384" s="17" t="s">
        <v>14</v>
      </c>
      <c r="D384" s="17" t="s">
        <v>353</v>
      </c>
      <c r="E384" s="17" t="s">
        <v>357</v>
      </c>
      <c r="F384" s="17" t="s">
        <v>285</v>
      </c>
      <c r="G384" s="14">
        <v>0</v>
      </c>
      <c r="H384" s="14">
        <f>6517.27-6517.27</f>
        <v>0</v>
      </c>
      <c r="I384" s="14">
        <f>4014.77-4014.77</f>
        <v>0</v>
      </c>
    </row>
    <row r="385" spans="1:9" ht="54" x14ac:dyDescent="0.25">
      <c r="A385" s="18">
        <f t="shared" si="187"/>
        <v>374</v>
      </c>
      <c r="B385" s="16" t="s">
        <v>165</v>
      </c>
      <c r="C385" s="17" t="s">
        <v>14</v>
      </c>
      <c r="D385" s="17" t="s">
        <v>353</v>
      </c>
      <c r="E385" s="17" t="s">
        <v>166</v>
      </c>
      <c r="F385" s="17"/>
      <c r="G385" s="14">
        <f>SUM(G386+G388+G390+G392+G394+G396+G398)</f>
        <v>66376</v>
      </c>
      <c r="H385" s="14">
        <f t="shared" ref="H385:I385" si="222">SUM(H386+H388+H390+H392+H394+H396+H398)</f>
        <v>64264.53</v>
      </c>
      <c r="I385" s="14">
        <f t="shared" si="222"/>
        <v>64106.8</v>
      </c>
    </row>
    <row r="386" spans="1:9" ht="42" customHeight="1" x14ac:dyDescent="0.25">
      <c r="A386" s="18">
        <f t="shared" si="187"/>
        <v>375</v>
      </c>
      <c r="B386" s="16" t="s">
        <v>358</v>
      </c>
      <c r="C386" s="17" t="s">
        <v>14</v>
      </c>
      <c r="D386" s="17" t="s">
        <v>353</v>
      </c>
      <c r="E386" s="17" t="s">
        <v>359</v>
      </c>
      <c r="F386" s="17"/>
      <c r="G386" s="14">
        <f>SUM(G387)</f>
        <v>416</v>
      </c>
      <c r="H386" s="14">
        <f t="shared" ref="H386:I386" si="223">SUM(H387)</f>
        <v>0</v>
      </c>
      <c r="I386" s="14">
        <f t="shared" si="223"/>
        <v>0</v>
      </c>
    </row>
    <row r="387" spans="1:9" ht="61.5" customHeight="1" x14ac:dyDescent="0.25">
      <c r="A387" s="18">
        <f t="shared" si="187"/>
        <v>376</v>
      </c>
      <c r="B387" s="16" t="s">
        <v>33</v>
      </c>
      <c r="C387" s="17" t="s">
        <v>14</v>
      </c>
      <c r="D387" s="17" t="s">
        <v>353</v>
      </c>
      <c r="E387" s="17" t="s">
        <v>359</v>
      </c>
      <c r="F387" s="17" t="s">
        <v>34</v>
      </c>
      <c r="G387" s="14">
        <v>416</v>
      </c>
      <c r="H387" s="14">
        <v>0</v>
      </c>
      <c r="I387" s="14">
        <v>0</v>
      </c>
    </row>
    <row r="388" spans="1:9" ht="54" x14ac:dyDescent="0.25">
      <c r="A388" s="18">
        <f t="shared" si="187"/>
        <v>377</v>
      </c>
      <c r="B388" s="16" t="s">
        <v>360</v>
      </c>
      <c r="C388" s="17" t="s">
        <v>14</v>
      </c>
      <c r="D388" s="17" t="s">
        <v>353</v>
      </c>
      <c r="E388" s="17" t="s">
        <v>361</v>
      </c>
      <c r="F388" s="17"/>
      <c r="G388" s="14">
        <f>SUM(G389)</f>
        <v>1000</v>
      </c>
      <c r="H388" s="14">
        <f t="shared" ref="H388:I388" si="224">SUM(H389)</f>
        <v>0</v>
      </c>
      <c r="I388" s="14">
        <f t="shared" si="224"/>
        <v>0</v>
      </c>
    </row>
    <row r="389" spans="1:9" ht="59.25" customHeight="1" x14ac:dyDescent="0.25">
      <c r="A389" s="18">
        <f t="shared" si="187"/>
        <v>378</v>
      </c>
      <c r="B389" s="16" t="s">
        <v>33</v>
      </c>
      <c r="C389" s="17" t="s">
        <v>14</v>
      </c>
      <c r="D389" s="17" t="s">
        <v>353</v>
      </c>
      <c r="E389" s="17" t="s">
        <v>361</v>
      </c>
      <c r="F389" s="17" t="s">
        <v>34</v>
      </c>
      <c r="G389" s="14">
        <v>1000</v>
      </c>
      <c r="H389" s="14">
        <v>0</v>
      </c>
      <c r="I389" s="14">
        <v>0</v>
      </c>
    </row>
    <row r="390" spans="1:9" ht="36" x14ac:dyDescent="0.25">
      <c r="A390" s="18">
        <f t="shared" si="187"/>
        <v>379</v>
      </c>
      <c r="B390" s="16" t="s">
        <v>362</v>
      </c>
      <c r="C390" s="17" t="s">
        <v>14</v>
      </c>
      <c r="D390" s="17" t="s">
        <v>353</v>
      </c>
      <c r="E390" s="17" t="s">
        <v>363</v>
      </c>
      <c r="F390" s="17"/>
      <c r="G390" s="14">
        <f>SUM(G391)</f>
        <v>780</v>
      </c>
      <c r="H390" s="14">
        <f t="shared" ref="H390:I390" si="225">SUM(H391)</f>
        <v>0</v>
      </c>
      <c r="I390" s="14">
        <f t="shared" si="225"/>
        <v>0</v>
      </c>
    </row>
    <row r="391" spans="1:9" ht="58.5" customHeight="1" x14ac:dyDescent="0.25">
      <c r="A391" s="18">
        <f t="shared" si="187"/>
        <v>380</v>
      </c>
      <c r="B391" s="16" t="s">
        <v>33</v>
      </c>
      <c r="C391" s="17" t="s">
        <v>14</v>
      </c>
      <c r="D391" s="17" t="s">
        <v>353</v>
      </c>
      <c r="E391" s="17" t="s">
        <v>363</v>
      </c>
      <c r="F391" s="17" t="s">
        <v>34</v>
      </c>
      <c r="G391" s="14">
        <v>780</v>
      </c>
      <c r="H391" s="14">
        <v>0</v>
      </c>
      <c r="I391" s="14">
        <v>0</v>
      </c>
    </row>
    <row r="392" spans="1:9" ht="36" x14ac:dyDescent="0.25">
      <c r="A392" s="18">
        <f t="shared" si="187"/>
        <v>381</v>
      </c>
      <c r="B392" s="16" t="s">
        <v>364</v>
      </c>
      <c r="C392" s="17" t="s">
        <v>14</v>
      </c>
      <c r="D392" s="17" t="s">
        <v>353</v>
      </c>
      <c r="E392" s="17" t="s">
        <v>365</v>
      </c>
      <c r="F392" s="17"/>
      <c r="G392" s="14">
        <f>SUM(G393)</f>
        <v>1930</v>
      </c>
      <c r="H392" s="14">
        <f t="shared" ref="H392:I392" si="226">SUM(H393)</f>
        <v>1600</v>
      </c>
      <c r="I392" s="14">
        <f t="shared" si="226"/>
        <v>1600</v>
      </c>
    </row>
    <row r="393" spans="1:9" ht="57.75" customHeight="1" x14ac:dyDescent="0.25">
      <c r="A393" s="18">
        <f t="shared" si="187"/>
        <v>382</v>
      </c>
      <c r="B393" s="16" t="s">
        <v>33</v>
      </c>
      <c r="C393" s="17" t="s">
        <v>14</v>
      </c>
      <c r="D393" s="17" t="s">
        <v>353</v>
      </c>
      <c r="E393" s="17" t="s">
        <v>365</v>
      </c>
      <c r="F393" s="17" t="s">
        <v>34</v>
      </c>
      <c r="G393" s="14">
        <f>1600+330</f>
        <v>1930</v>
      </c>
      <c r="H393" s="14">
        <v>1600</v>
      </c>
      <c r="I393" s="14">
        <v>1600</v>
      </c>
    </row>
    <row r="394" spans="1:9" ht="55.5" customHeight="1" x14ac:dyDescent="0.25">
      <c r="A394" s="18">
        <f t="shared" si="187"/>
        <v>383</v>
      </c>
      <c r="B394" s="16" t="s">
        <v>366</v>
      </c>
      <c r="C394" s="17" t="s">
        <v>14</v>
      </c>
      <c r="D394" s="17" t="s">
        <v>353</v>
      </c>
      <c r="E394" s="17" t="s">
        <v>367</v>
      </c>
      <c r="F394" s="17"/>
      <c r="G394" s="14">
        <f>SUM(G395)</f>
        <v>51820</v>
      </c>
      <c r="H394" s="14">
        <f t="shared" ref="H394:I394" si="227">SUM(H395)</f>
        <v>52234.53</v>
      </c>
      <c r="I394" s="14">
        <f t="shared" si="227"/>
        <v>52076.800000000003</v>
      </c>
    </row>
    <row r="395" spans="1:9" ht="56.25" customHeight="1" x14ac:dyDescent="0.25">
      <c r="A395" s="18">
        <f t="shared" si="187"/>
        <v>384</v>
      </c>
      <c r="B395" s="16" t="s">
        <v>33</v>
      </c>
      <c r="C395" s="17" t="s">
        <v>14</v>
      </c>
      <c r="D395" s="17" t="s">
        <v>353</v>
      </c>
      <c r="E395" s="17" t="s">
        <v>367</v>
      </c>
      <c r="F395" s="17" t="s">
        <v>34</v>
      </c>
      <c r="G395" s="14">
        <v>51820</v>
      </c>
      <c r="H395" s="14">
        <v>52234.53</v>
      </c>
      <c r="I395" s="14">
        <v>52076.800000000003</v>
      </c>
    </row>
    <row r="396" spans="1:9" ht="59.25" customHeight="1" x14ac:dyDescent="0.25">
      <c r="A396" s="18">
        <f t="shared" si="187"/>
        <v>385</v>
      </c>
      <c r="B396" s="16" t="s">
        <v>368</v>
      </c>
      <c r="C396" s="17" t="s">
        <v>14</v>
      </c>
      <c r="D396" s="17" t="s">
        <v>353</v>
      </c>
      <c r="E396" s="17" t="s">
        <v>369</v>
      </c>
      <c r="F396" s="17"/>
      <c r="G396" s="14">
        <f>SUM(G397)</f>
        <v>10130</v>
      </c>
      <c r="H396" s="14">
        <f t="shared" ref="H396:I396" si="228">SUM(H397)</f>
        <v>10130</v>
      </c>
      <c r="I396" s="14">
        <f t="shared" si="228"/>
        <v>10130</v>
      </c>
    </row>
    <row r="397" spans="1:9" ht="57.75" customHeight="1" x14ac:dyDescent="0.25">
      <c r="A397" s="18">
        <f t="shared" si="187"/>
        <v>386</v>
      </c>
      <c r="B397" s="16" t="s">
        <v>33</v>
      </c>
      <c r="C397" s="17" t="s">
        <v>14</v>
      </c>
      <c r="D397" s="17" t="s">
        <v>353</v>
      </c>
      <c r="E397" s="17" t="s">
        <v>369</v>
      </c>
      <c r="F397" s="17" t="s">
        <v>34</v>
      </c>
      <c r="G397" s="14">
        <v>10130</v>
      </c>
      <c r="H397" s="14">
        <v>10130</v>
      </c>
      <c r="I397" s="14">
        <v>10130</v>
      </c>
    </row>
    <row r="398" spans="1:9" ht="18" x14ac:dyDescent="0.25">
      <c r="A398" s="18">
        <f t="shared" si="187"/>
        <v>387</v>
      </c>
      <c r="B398" s="16" t="s">
        <v>370</v>
      </c>
      <c r="C398" s="17" t="s">
        <v>14</v>
      </c>
      <c r="D398" s="17" t="s">
        <v>353</v>
      </c>
      <c r="E398" s="17" t="s">
        <v>371</v>
      </c>
      <c r="F398" s="17"/>
      <c r="G398" s="14">
        <f>SUM(G399)</f>
        <v>300</v>
      </c>
      <c r="H398" s="14">
        <f t="shared" ref="H398:I398" si="229">SUM(H399)</f>
        <v>300</v>
      </c>
      <c r="I398" s="14">
        <f t="shared" si="229"/>
        <v>300</v>
      </c>
    </row>
    <row r="399" spans="1:9" ht="56.25" customHeight="1" x14ac:dyDescent="0.25">
      <c r="A399" s="18">
        <f t="shared" si="187"/>
        <v>388</v>
      </c>
      <c r="B399" s="16" t="s">
        <v>33</v>
      </c>
      <c r="C399" s="17" t="s">
        <v>14</v>
      </c>
      <c r="D399" s="17" t="s">
        <v>353</v>
      </c>
      <c r="E399" s="17" t="s">
        <v>371</v>
      </c>
      <c r="F399" s="17" t="s">
        <v>34</v>
      </c>
      <c r="G399" s="14">
        <v>300</v>
      </c>
      <c r="H399" s="14">
        <v>300</v>
      </c>
      <c r="I399" s="14">
        <v>300</v>
      </c>
    </row>
    <row r="400" spans="1:9" ht="54" x14ac:dyDescent="0.25">
      <c r="A400" s="18">
        <f t="shared" ref="A400:A469" si="230">SUM(A399+1)</f>
        <v>389</v>
      </c>
      <c r="B400" s="16" t="s">
        <v>372</v>
      </c>
      <c r="C400" s="17" t="s">
        <v>14</v>
      </c>
      <c r="D400" s="17" t="s">
        <v>353</v>
      </c>
      <c r="E400" s="17" t="s">
        <v>373</v>
      </c>
      <c r="F400" s="17"/>
      <c r="G400" s="14">
        <f>SUM(G401+G405+G403)</f>
        <v>12222.46</v>
      </c>
      <c r="H400" s="14">
        <f t="shared" ref="H400:I400" si="231">SUM(H401+H405+H403)</f>
        <v>8251.7000000000007</v>
      </c>
      <c r="I400" s="14">
        <f t="shared" si="231"/>
        <v>8176.5</v>
      </c>
    </row>
    <row r="401" spans="1:9" ht="72" x14ac:dyDescent="0.25">
      <c r="A401" s="18">
        <f t="shared" si="230"/>
        <v>390</v>
      </c>
      <c r="B401" s="16" t="s">
        <v>374</v>
      </c>
      <c r="C401" s="17" t="s">
        <v>14</v>
      </c>
      <c r="D401" s="17" t="s">
        <v>353</v>
      </c>
      <c r="E401" s="17" t="s">
        <v>375</v>
      </c>
      <c r="F401" s="17"/>
      <c r="G401" s="14">
        <f>SUM(G402)</f>
        <v>9068.4599999999991</v>
      </c>
      <c r="H401" s="14">
        <f t="shared" ref="H401:I401" si="232">SUM(H402)</f>
        <v>7901.7</v>
      </c>
      <c r="I401" s="14">
        <f t="shared" si="232"/>
        <v>8176.5</v>
      </c>
    </row>
    <row r="402" spans="1:9" ht="36" x14ac:dyDescent="0.25">
      <c r="A402" s="18">
        <f t="shared" si="230"/>
        <v>391</v>
      </c>
      <c r="B402" s="16" t="s">
        <v>157</v>
      </c>
      <c r="C402" s="17" t="s">
        <v>14</v>
      </c>
      <c r="D402" s="17" t="s">
        <v>353</v>
      </c>
      <c r="E402" s="17" t="s">
        <v>375</v>
      </c>
      <c r="F402" s="17" t="s">
        <v>158</v>
      </c>
      <c r="G402" s="14">
        <f>7979.7+1088.76</f>
        <v>9068.4599999999991</v>
      </c>
      <c r="H402" s="14">
        <v>7901.7</v>
      </c>
      <c r="I402" s="14">
        <v>8176.5</v>
      </c>
    </row>
    <row r="403" spans="1:9" ht="90" x14ac:dyDescent="0.25">
      <c r="A403" s="18">
        <f t="shared" si="230"/>
        <v>392</v>
      </c>
      <c r="B403" s="16" t="s">
        <v>800</v>
      </c>
      <c r="C403" s="17" t="s">
        <v>14</v>
      </c>
      <c r="D403" s="17" t="s">
        <v>353</v>
      </c>
      <c r="E403" s="27" t="s">
        <v>799</v>
      </c>
      <c r="F403" s="17"/>
      <c r="G403" s="14">
        <f>SUM(G404)</f>
        <v>2804</v>
      </c>
      <c r="H403" s="14">
        <f t="shared" ref="H403:I403" si="233">SUM(H404)</f>
        <v>0</v>
      </c>
      <c r="I403" s="14">
        <f t="shared" si="233"/>
        <v>0</v>
      </c>
    </row>
    <row r="404" spans="1:9" ht="36" x14ac:dyDescent="0.25">
      <c r="A404" s="18">
        <f t="shared" si="230"/>
        <v>393</v>
      </c>
      <c r="B404" s="16" t="s">
        <v>157</v>
      </c>
      <c r="C404" s="17" t="s">
        <v>14</v>
      </c>
      <c r="D404" s="17" t="s">
        <v>353</v>
      </c>
      <c r="E404" s="27" t="s">
        <v>799</v>
      </c>
      <c r="F404" s="17">
        <v>610</v>
      </c>
      <c r="G404" s="14">
        <v>2804</v>
      </c>
      <c r="H404" s="14">
        <v>0</v>
      </c>
      <c r="I404" s="14">
        <v>0</v>
      </c>
    </row>
    <row r="405" spans="1:9" ht="40.5" customHeight="1" x14ac:dyDescent="0.25">
      <c r="A405" s="18">
        <f t="shared" si="230"/>
        <v>394</v>
      </c>
      <c r="B405" s="16" t="s">
        <v>376</v>
      </c>
      <c r="C405" s="17" t="s">
        <v>14</v>
      </c>
      <c r="D405" s="17" t="s">
        <v>353</v>
      </c>
      <c r="E405" s="17" t="s">
        <v>377</v>
      </c>
      <c r="F405" s="17"/>
      <c r="G405" s="14">
        <f>SUM(G406)</f>
        <v>350</v>
      </c>
      <c r="H405" s="14">
        <f t="shared" ref="H405:I405" si="234">SUM(H406)</f>
        <v>350</v>
      </c>
      <c r="I405" s="14">
        <f t="shared" si="234"/>
        <v>0</v>
      </c>
    </row>
    <row r="406" spans="1:9" ht="57.75" customHeight="1" x14ac:dyDescent="0.25">
      <c r="A406" s="18">
        <f t="shared" si="230"/>
        <v>395</v>
      </c>
      <c r="B406" s="16" t="s">
        <v>33</v>
      </c>
      <c r="C406" s="17" t="s">
        <v>14</v>
      </c>
      <c r="D406" s="17" t="s">
        <v>353</v>
      </c>
      <c r="E406" s="17" t="s">
        <v>377</v>
      </c>
      <c r="F406" s="17" t="s">
        <v>34</v>
      </c>
      <c r="G406" s="14">
        <v>350</v>
      </c>
      <c r="H406" s="14">
        <v>350</v>
      </c>
      <c r="I406" s="14">
        <v>0</v>
      </c>
    </row>
    <row r="407" spans="1:9" ht="90" x14ac:dyDescent="0.25">
      <c r="A407" s="18">
        <f t="shared" si="230"/>
        <v>396</v>
      </c>
      <c r="B407" s="16" t="s">
        <v>843</v>
      </c>
      <c r="C407" s="17" t="s">
        <v>14</v>
      </c>
      <c r="D407" s="17" t="s">
        <v>353</v>
      </c>
      <c r="E407" s="17" t="s">
        <v>378</v>
      </c>
      <c r="F407" s="17"/>
      <c r="G407" s="14">
        <f>SUM(G408+G411)</f>
        <v>100030.7</v>
      </c>
      <c r="H407" s="14">
        <f t="shared" ref="H407:I407" si="235">SUM(H408+H411)</f>
        <v>21367.489999999998</v>
      </c>
      <c r="I407" s="14">
        <f t="shared" si="235"/>
        <v>109384.92</v>
      </c>
    </row>
    <row r="408" spans="1:9" ht="57.75" customHeight="1" x14ac:dyDescent="0.25">
      <c r="A408" s="18">
        <f t="shared" si="230"/>
        <v>397</v>
      </c>
      <c r="B408" s="16" t="s">
        <v>379</v>
      </c>
      <c r="C408" s="17" t="s">
        <v>14</v>
      </c>
      <c r="D408" s="17" t="s">
        <v>353</v>
      </c>
      <c r="E408" s="17" t="s">
        <v>380</v>
      </c>
      <c r="F408" s="17"/>
      <c r="G408" s="14">
        <f>SUM(G409)</f>
        <v>800</v>
      </c>
      <c r="H408" s="14">
        <f t="shared" ref="H408:I408" si="236">SUM(H409)</f>
        <v>500</v>
      </c>
      <c r="I408" s="14">
        <f t="shared" si="236"/>
        <v>500</v>
      </c>
    </row>
    <row r="409" spans="1:9" ht="90" x14ac:dyDescent="0.25">
      <c r="A409" s="18">
        <f t="shared" si="230"/>
        <v>398</v>
      </c>
      <c r="B409" s="16" t="s">
        <v>381</v>
      </c>
      <c r="C409" s="17" t="s">
        <v>14</v>
      </c>
      <c r="D409" s="17" t="s">
        <v>353</v>
      </c>
      <c r="E409" s="17" t="s">
        <v>382</v>
      </c>
      <c r="F409" s="17"/>
      <c r="G409" s="14">
        <f>SUM(G410)</f>
        <v>800</v>
      </c>
      <c r="H409" s="14">
        <f t="shared" ref="H409:I409" si="237">SUM(H410)</f>
        <v>500</v>
      </c>
      <c r="I409" s="14">
        <f t="shared" si="237"/>
        <v>500</v>
      </c>
    </row>
    <row r="410" spans="1:9" ht="36" x14ac:dyDescent="0.25">
      <c r="A410" s="18">
        <f t="shared" si="230"/>
        <v>399</v>
      </c>
      <c r="B410" s="16" t="s">
        <v>157</v>
      </c>
      <c r="C410" s="17" t="s">
        <v>14</v>
      </c>
      <c r="D410" s="17" t="s">
        <v>353</v>
      </c>
      <c r="E410" s="17" t="s">
        <v>382</v>
      </c>
      <c r="F410" s="17">
        <v>610</v>
      </c>
      <c r="G410" s="14">
        <f>500+300</f>
        <v>800</v>
      </c>
      <c r="H410" s="14">
        <v>500</v>
      </c>
      <c r="I410" s="14">
        <v>500</v>
      </c>
    </row>
    <row r="411" spans="1:9" ht="72" x14ac:dyDescent="0.25">
      <c r="A411" s="18">
        <f t="shared" si="230"/>
        <v>400</v>
      </c>
      <c r="B411" s="16" t="s">
        <v>383</v>
      </c>
      <c r="C411" s="17" t="s">
        <v>14</v>
      </c>
      <c r="D411" s="17" t="s">
        <v>353</v>
      </c>
      <c r="E411" s="17" t="s">
        <v>384</v>
      </c>
      <c r="F411" s="17"/>
      <c r="G411" s="14">
        <f>SUM(G412+G414+G417+G419+G421)</f>
        <v>99230.7</v>
      </c>
      <c r="H411" s="14">
        <f t="shared" ref="H411:I411" si="238">SUM(H412+H414+H417+H419+H421)</f>
        <v>20867.489999999998</v>
      </c>
      <c r="I411" s="14">
        <f t="shared" si="238"/>
        <v>108884.92</v>
      </c>
    </row>
    <row r="412" spans="1:9" ht="72" x14ac:dyDescent="0.25">
      <c r="A412" s="18">
        <f t="shared" si="230"/>
        <v>401</v>
      </c>
      <c r="B412" s="16" t="s">
        <v>385</v>
      </c>
      <c r="C412" s="17" t="s">
        <v>14</v>
      </c>
      <c r="D412" s="17" t="s">
        <v>353</v>
      </c>
      <c r="E412" s="17" t="s">
        <v>386</v>
      </c>
      <c r="F412" s="17"/>
      <c r="G412" s="14">
        <f>SUM(G413)</f>
        <v>5043.7</v>
      </c>
      <c r="H412" s="14">
        <f t="shared" ref="H412:I412" si="239">SUM(H413)</f>
        <v>5043.6899999999996</v>
      </c>
      <c r="I412" s="14">
        <f t="shared" si="239"/>
        <v>5043.7</v>
      </c>
    </row>
    <row r="413" spans="1:9" ht="36" x14ac:dyDescent="0.25">
      <c r="A413" s="18">
        <f t="shared" si="230"/>
        <v>402</v>
      </c>
      <c r="B413" s="16" t="s">
        <v>157</v>
      </c>
      <c r="C413" s="17" t="s">
        <v>14</v>
      </c>
      <c r="D413" s="17" t="s">
        <v>353</v>
      </c>
      <c r="E413" s="17" t="s">
        <v>386</v>
      </c>
      <c r="F413" s="17" t="s">
        <v>158</v>
      </c>
      <c r="G413" s="14">
        <v>5043.7</v>
      </c>
      <c r="H413" s="14">
        <v>5043.6899999999996</v>
      </c>
      <c r="I413" s="14">
        <v>5043.7</v>
      </c>
    </row>
    <row r="414" spans="1:9" ht="61.5" customHeight="1" x14ac:dyDescent="0.25">
      <c r="A414" s="18">
        <f t="shared" si="230"/>
        <v>403</v>
      </c>
      <c r="B414" s="16" t="s">
        <v>387</v>
      </c>
      <c r="C414" s="17" t="s">
        <v>14</v>
      </c>
      <c r="D414" s="17" t="s">
        <v>353</v>
      </c>
      <c r="E414" s="17" t="s">
        <v>388</v>
      </c>
      <c r="F414" s="17"/>
      <c r="G414" s="14">
        <f>SUM(G415:G416)</f>
        <v>9107</v>
      </c>
      <c r="H414" s="14">
        <f t="shared" ref="H414:I414" si="240">SUM(H415:H416)</f>
        <v>11743.8</v>
      </c>
      <c r="I414" s="14">
        <f t="shared" si="240"/>
        <v>103761.22</v>
      </c>
    </row>
    <row r="415" spans="1:9" ht="55.5" customHeight="1" x14ac:dyDescent="0.25">
      <c r="A415" s="18">
        <f t="shared" si="230"/>
        <v>404</v>
      </c>
      <c r="B415" s="16" t="s">
        <v>33</v>
      </c>
      <c r="C415" s="17" t="s">
        <v>14</v>
      </c>
      <c r="D415" s="17" t="s">
        <v>353</v>
      </c>
      <c r="E415" s="17" t="s">
        <v>388</v>
      </c>
      <c r="F415" s="17" t="s">
        <v>34</v>
      </c>
      <c r="G415" s="14">
        <f>14107-5000</f>
        <v>9107</v>
      </c>
      <c r="H415" s="14">
        <f>15743.8-4000</f>
        <v>11743.8</v>
      </c>
      <c r="I415" s="14">
        <v>103761.22</v>
      </c>
    </row>
    <row r="416" spans="1:9" ht="43.5" customHeight="1" x14ac:dyDescent="0.25">
      <c r="A416" s="18">
        <f t="shared" si="230"/>
        <v>405</v>
      </c>
      <c r="B416" s="16" t="s">
        <v>157</v>
      </c>
      <c r="C416" s="17" t="s">
        <v>14</v>
      </c>
      <c r="D416" s="17" t="s">
        <v>353</v>
      </c>
      <c r="E416" s="17" t="s">
        <v>388</v>
      </c>
      <c r="F416" s="17">
        <v>610</v>
      </c>
      <c r="G416" s="14">
        <f>300-300</f>
        <v>0</v>
      </c>
      <c r="H416" s="14">
        <v>0</v>
      </c>
      <c r="I416" s="14">
        <v>0</v>
      </c>
    </row>
    <row r="417" spans="1:9" ht="72" x14ac:dyDescent="0.25">
      <c r="A417" s="18">
        <f t="shared" si="230"/>
        <v>406</v>
      </c>
      <c r="B417" s="16" t="s">
        <v>389</v>
      </c>
      <c r="C417" s="17" t="s">
        <v>14</v>
      </c>
      <c r="D417" s="17" t="s">
        <v>353</v>
      </c>
      <c r="E417" s="17" t="s">
        <v>390</v>
      </c>
      <c r="F417" s="17"/>
      <c r="G417" s="14">
        <f>SUM(G418)</f>
        <v>80</v>
      </c>
      <c r="H417" s="14">
        <f t="shared" ref="H417:I417" si="241">SUM(H418)</f>
        <v>80</v>
      </c>
      <c r="I417" s="14">
        <f t="shared" si="241"/>
        <v>80</v>
      </c>
    </row>
    <row r="418" spans="1:9" ht="58.5" customHeight="1" x14ac:dyDescent="0.25">
      <c r="A418" s="18">
        <f t="shared" si="230"/>
        <v>407</v>
      </c>
      <c r="B418" s="16" t="s">
        <v>33</v>
      </c>
      <c r="C418" s="17" t="s">
        <v>14</v>
      </c>
      <c r="D418" s="17" t="s">
        <v>353</v>
      </c>
      <c r="E418" s="17" t="s">
        <v>390</v>
      </c>
      <c r="F418" s="17" t="s">
        <v>34</v>
      </c>
      <c r="G418" s="14">
        <v>80</v>
      </c>
      <c r="H418" s="14">
        <v>80</v>
      </c>
      <c r="I418" s="14">
        <v>80</v>
      </c>
    </row>
    <row r="419" spans="1:9" ht="72" x14ac:dyDescent="0.25">
      <c r="A419" s="18">
        <f t="shared" si="230"/>
        <v>408</v>
      </c>
      <c r="B419" s="16" t="s">
        <v>391</v>
      </c>
      <c r="C419" s="17" t="s">
        <v>14</v>
      </c>
      <c r="D419" s="17" t="s">
        <v>353</v>
      </c>
      <c r="E419" s="17" t="s">
        <v>392</v>
      </c>
      <c r="F419" s="17"/>
      <c r="G419" s="14">
        <f>SUM(G420)</f>
        <v>5000</v>
      </c>
      <c r="H419" s="14">
        <f t="shared" ref="H419:I419" si="242">SUM(H420)</f>
        <v>4000</v>
      </c>
      <c r="I419" s="14">
        <f t="shared" si="242"/>
        <v>0</v>
      </c>
    </row>
    <row r="420" spans="1:9" ht="61.5" customHeight="1" x14ac:dyDescent="0.25">
      <c r="A420" s="18">
        <f t="shared" si="230"/>
        <v>409</v>
      </c>
      <c r="B420" s="16" t="s">
        <v>33</v>
      </c>
      <c r="C420" s="17" t="s">
        <v>14</v>
      </c>
      <c r="D420" s="17" t="s">
        <v>353</v>
      </c>
      <c r="E420" s="17" t="s">
        <v>392</v>
      </c>
      <c r="F420" s="17" t="s">
        <v>34</v>
      </c>
      <c r="G420" s="14">
        <f>4500+500</f>
        <v>5000</v>
      </c>
      <c r="H420" s="14">
        <v>4000</v>
      </c>
      <c r="I420" s="14">
        <v>0</v>
      </c>
    </row>
    <row r="421" spans="1:9" ht="93" customHeight="1" x14ac:dyDescent="0.25">
      <c r="A421" s="18">
        <f t="shared" si="230"/>
        <v>410</v>
      </c>
      <c r="B421" s="16" t="s">
        <v>393</v>
      </c>
      <c r="C421" s="17" t="s">
        <v>14</v>
      </c>
      <c r="D421" s="17" t="s">
        <v>353</v>
      </c>
      <c r="E421" s="17" t="s">
        <v>394</v>
      </c>
      <c r="F421" s="17"/>
      <c r="G421" s="14">
        <f>SUM(G422)</f>
        <v>80000</v>
      </c>
      <c r="H421" s="14">
        <f t="shared" ref="H421:I421" si="243">SUM(H422)</f>
        <v>0</v>
      </c>
      <c r="I421" s="14">
        <f t="shared" si="243"/>
        <v>0</v>
      </c>
    </row>
    <row r="422" spans="1:9" ht="36" x14ac:dyDescent="0.25">
      <c r="A422" s="18">
        <f t="shared" si="230"/>
        <v>411</v>
      </c>
      <c r="B422" s="16" t="s">
        <v>157</v>
      </c>
      <c r="C422" s="17" t="s">
        <v>14</v>
      </c>
      <c r="D422" s="17" t="s">
        <v>353</v>
      </c>
      <c r="E422" s="17" t="s">
        <v>394</v>
      </c>
      <c r="F422" s="17" t="s">
        <v>158</v>
      </c>
      <c r="G422" s="14">
        <v>80000</v>
      </c>
      <c r="H422" s="14">
        <v>0</v>
      </c>
      <c r="I422" s="14">
        <v>0</v>
      </c>
    </row>
    <row r="423" spans="1:9" ht="18" x14ac:dyDescent="0.25">
      <c r="A423" s="18">
        <f t="shared" si="230"/>
        <v>412</v>
      </c>
      <c r="B423" s="16" t="s">
        <v>811</v>
      </c>
      <c r="C423" s="17" t="s">
        <v>14</v>
      </c>
      <c r="D423" s="17" t="s">
        <v>353</v>
      </c>
      <c r="E423" s="27" t="s">
        <v>45</v>
      </c>
      <c r="F423" s="17"/>
      <c r="G423" s="14">
        <f>SUM(G424)</f>
        <v>48.71</v>
      </c>
      <c r="H423" s="14">
        <f t="shared" ref="H423:I424" si="244">SUM(H424)</f>
        <v>0</v>
      </c>
      <c r="I423" s="14">
        <f t="shared" si="244"/>
        <v>0</v>
      </c>
    </row>
    <row r="424" spans="1:9" ht="144" x14ac:dyDescent="0.25">
      <c r="A424" s="18">
        <f t="shared" si="230"/>
        <v>413</v>
      </c>
      <c r="B424" s="16" t="s">
        <v>886</v>
      </c>
      <c r="C424" s="17" t="s">
        <v>14</v>
      </c>
      <c r="D424" s="17" t="s">
        <v>353</v>
      </c>
      <c r="E424" s="27" t="s">
        <v>882</v>
      </c>
      <c r="F424" s="17"/>
      <c r="G424" s="14">
        <f>SUM(G425)</f>
        <v>48.71</v>
      </c>
      <c r="H424" s="14">
        <f t="shared" si="244"/>
        <v>0</v>
      </c>
      <c r="I424" s="14">
        <f t="shared" si="244"/>
        <v>0</v>
      </c>
    </row>
    <row r="425" spans="1:9" ht="36" x14ac:dyDescent="0.25">
      <c r="A425" s="18">
        <f t="shared" si="230"/>
        <v>414</v>
      </c>
      <c r="B425" s="16" t="s">
        <v>157</v>
      </c>
      <c r="C425" s="17" t="s">
        <v>14</v>
      </c>
      <c r="D425" s="17" t="s">
        <v>353</v>
      </c>
      <c r="E425" s="27" t="s">
        <v>882</v>
      </c>
      <c r="F425" s="17">
        <v>610</v>
      </c>
      <c r="G425" s="14">
        <v>48.71</v>
      </c>
      <c r="H425" s="14">
        <v>0</v>
      </c>
      <c r="I425" s="14">
        <v>0</v>
      </c>
    </row>
    <row r="426" spans="1:9" ht="42" customHeight="1" x14ac:dyDescent="0.25">
      <c r="A426" s="19">
        <f t="shared" si="230"/>
        <v>415</v>
      </c>
      <c r="B426" s="20" t="s">
        <v>395</v>
      </c>
      <c r="C426" s="21" t="s">
        <v>14</v>
      </c>
      <c r="D426" s="21" t="s">
        <v>396</v>
      </c>
      <c r="E426" s="21"/>
      <c r="F426" s="21"/>
      <c r="G426" s="13">
        <f>SUM(G427+G447)</f>
        <v>18581.27</v>
      </c>
      <c r="H426" s="13">
        <f t="shared" ref="H426:I426" si="245">SUM(H427+H447)</f>
        <v>15402.96</v>
      </c>
      <c r="I426" s="13">
        <f t="shared" si="245"/>
        <v>15769.67</v>
      </c>
    </row>
    <row r="427" spans="1:9" ht="95.25" customHeight="1" x14ac:dyDescent="0.25">
      <c r="A427" s="18">
        <f t="shared" si="230"/>
        <v>416</v>
      </c>
      <c r="B427" s="16" t="s">
        <v>163</v>
      </c>
      <c r="C427" s="17" t="s">
        <v>14</v>
      </c>
      <c r="D427" s="17" t="s">
        <v>396</v>
      </c>
      <c r="E427" s="17" t="s">
        <v>164</v>
      </c>
      <c r="F427" s="17"/>
      <c r="G427" s="14">
        <f>SUM(G428+G432+G441)</f>
        <v>16878.55</v>
      </c>
      <c r="H427" s="14">
        <f t="shared" ref="H427:I427" si="246">SUM(H428+H432+H441)</f>
        <v>15402.96</v>
      </c>
      <c r="I427" s="14">
        <f t="shared" si="246"/>
        <v>15769.67</v>
      </c>
    </row>
    <row r="428" spans="1:9" ht="72" x14ac:dyDescent="0.25">
      <c r="A428" s="18">
        <f t="shared" si="230"/>
        <v>417</v>
      </c>
      <c r="B428" s="16" t="s">
        <v>288</v>
      </c>
      <c r="C428" s="17" t="s">
        <v>14</v>
      </c>
      <c r="D428" s="17" t="s">
        <v>396</v>
      </c>
      <c r="E428" s="17" t="s">
        <v>289</v>
      </c>
      <c r="F428" s="17"/>
      <c r="G428" s="14">
        <f>SUM(G429)</f>
        <v>547.4</v>
      </c>
      <c r="H428" s="14">
        <f t="shared" ref="H428:I428" si="247">SUM(H429)</f>
        <v>360.9</v>
      </c>
      <c r="I428" s="14">
        <f t="shared" si="247"/>
        <v>360.9</v>
      </c>
    </row>
    <row r="429" spans="1:9" ht="144.75" customHeight="1" x14ac:dyDescent="0.25">
      <c r="A429" s="18">
        <f t="shared" si="230"/>
        <v>418</v>
      </c>
      <c r="B429" s="16" t="s">
        <v>326</v>
      </c>
      <c r="C429" s="17" t="s">
        <v>14</v>
      </c>
      <c r="D429" s="17" t="s">
        <v>396</v>
      </c>
      <c r="E429" s="17" t="s">
        <v>327</v>
      </c>
      <c r="F429" s="17"/>
      <c r="G429" s="14">
        <f>SUM(G430:G431)</f>
        <v>547.4</v>
      </c>
      <c r="H429" s="14">
        <f t="shared" ref="H429:I429" si="248">SUM(H430:H431)</f>
        <v>360.9</v>
      </c>
      <c r="I429" s="14">
        <f t="shared" si="248"/>
        <v>360.9</v>
      </c>
    </row>
    <row r="430" spans="1:9" ht="54" x14ac:dyDescent="0.25">
      <c r="A430" s="18">
        <f t="shared" si="230"/>
        <v>419</v>
      </c>
      <c r="B430" s="16" t="s">
        <v>25</v>
      </c>
      <c r="C430" s="17" t="s">
        <v>14</v>
      </c>
      <c r="D430" s="17" t="s">
        <v>396</v>
      </c>
      <c r="E430" s="17" t="s">
        <v>327</v>
      </c>
      <c r="F430" s="17" t="s">
        <v>26</v>
      </c>
      <c r="G430" s="14">
        <f>13.02-0.62</f>
        <v>12.4</v>
      </c>
      <c r="H430" s="14">
        <v>13.02</v>
      </c>
      <c r="I430" s="14">
        <v>13.02</v>
      </c>
    </row>
    <row r="431" spans="1:9" ht="57.75" customHeight="1" x14ac:dyDescent="0.25">
      <c r="A431" s="18">
        <f t="shared" si="230"/>
        <v>420</v>
      </c>
      <c r="B431" s="16" t="s">
        <v>33</v>
      </c>
      <c r="C431" s="17" t="s">
        <v>14</v>
      </c>
      <c r="D431" s="17" t="s">
        <v>396</v>
      </c>
      <c r="E431" s="17" t="s">
        <v>327</v>
      </c>
      <c r="F431" s="17" t="s">
        <v>34</v>
      </c>
      <c r="G431" s="14">
        <f>534.38+0.62</f>
        <v>535</v>
      </c>
      <c r="H431" s="14">
        <v>347.88</v>
      </c>
      <c r="I431" s="14">
        <v>347.88</v>
      </c>
    </row>
    <row r="432" spans="1:9" ht="75.75" customHeight="1" x14ac:dyDescent="0.25">
      <c r="A432" s="18">
        <f t="shared" si="230"/>
        <v>421</v>
      </c>
      <c r="B432" s="16" t="s">
        <v>328</v>
      </c>
      <c r="C432" s="17" t="s">
        <v>14</v>
      </c>
      <c r="D432" s="17" t="s">
        <v>396</v>
      </c>
      <c r="E432" s="17" t="s">
        <v>329</v>
      </c>
      <c r="F432" s="17"/>
      <c r="G432" s="14">
        <f>SUM(G433+G435+G437+G439)</f>
        <v>4132.16</v>
      </c>
      <c r="H432" s="14">
        <f t="shared" ref="H432:I432" si="249">SUM(H433+H435+H437+H439)</f>
        <v>2545</v>
      </c>
      <c r="I432" s="14">
        <f t="shared" si="249"/>
        <v>2500</v>
      </c>
    </row>
    <row r="433" spans="1:9" ht="93" customHeight="1" x14ac:dyDescent="0.25">
      <c r="A433" s="18">
        <f t="shared" si="230"/>
        <v>422</v>
      </c>
      <c r="B433" s="16" t="s">
        <v>397</v>
      </c>
      <c r="C433" s="17" t="s">
        <v>14</v>
      </c>
      <c r="D433" s="17" t="s">
        <v>396</v>
      </c>
      <c r="E433" s="17" t="s">
        <v>398</v>
      </c>
      <c r="F433" s="17"/>
      <c r="G433" s="14">
        <f>SUM(G434)</f>
        <v>45</v>
      </c>
      <c r="H433" s="14">
        <f t="shared" ref="H433:I433" si="250">SUM(H434)</f>
        <v>45</v>
      </c>
      <c r="I433" s="14">
        <f t="shared" si="250"/>
        <v>0</v>
      </c>
    </row>
    <row r="434" spans="1:9" ht="60" customHeight="1" x14ac:dyDescent="0.25">
      <c r="A434" s="18">
        <f t="shared" si="230"/>
        <v>423</v>
      </c>
      <c r="B434" s="16" t="s">
        <v>33</v>
      </c>
      <c r="C434" s="17" t="s">
        <v>14</v>
      </c>
      <c r="D434" s="17" t="s">
        <v>396</v>
      </c>
      <c r="E434" s="17" t="s">
        <v>398</v>
      </c>
      <c r="F434" s="17" t="s">
        <v>34</v>
      </c>
      <c r="G434" s="14">
        <v>45</v>
      </c>
      <c r="H434" s="14">
        <v>45</v>
      </c>
      <c r="I434" s="14">
        <v>0</v>
      </c>
    </row>
    <row r="435" spans="1:9" ht="54" x14ac:dyDescent="0.25">
      <c r="A435" s="18">
        <f t="shared" si="230"/>
        <v>424</v>
      </c>
      <c r="B435" s="16" t="s">
        <v>399</v>
      </c>
      <c r="C435" s="17" t="s">
        <v>14</v>
      </c>
      <c r="D435" s="17" t="s">
        <v>396</v>
      </c>
      <c r="E435" s="17" t="s">
        <v>400</v>
      </c>
      <c r="F435" s="17"/>
      <c r="G435" s="14">
        <f>SUM(G436)</f>
        <v>247.5</v>
      </c>
      <c r="H435" s="14">
        <f t="shared" ref="H435:I435" si="251">SUM(H436)</f>
        <v>0</v>
      </c>
      <c r="I435" s="14">
        <f t="shared" si="251"/>
        <v>0</v>
      </c>
    </row>
    <row r="436" spans="1:9" ht="57.75" customHeight="1" x14ac:dyDescent="0.25">
      <c r="A436" s="18">
        <f t="shared" si="230"/>
        <v>425</v>
      </c>
      <c r="B436" s="16" t="s">
        <v>33</v>
      </c>
      <c r="C436" s="17" t="s">
        <v>14</v>
      </c>
      <c r="D436" s="17" t="s">
        <v>396</v>
      </c>
      <c r="E436" s="17" t="s">
        <v>400</v>
      </c>
      <c r="F436" s="17" t="s">
        <v>34</v>
      </c>
      <c r="G436" s="14">
        <f>500-252.5</f>
        <v>247.5</v>
      </c>
      <c r="H436" s="14">
        <v>0</v>
      </c>
      <c r="I436" s="14">
        <v>0</v>
      </c>
    </row>
    <row r="437" spans="1:9" ht="72" x14ac:dyDescent="0.25">
      <c r="A437" s="18">
        <f t="shared" si="230"/>
        <v>426</v>
      </c>
      <c r="B437" s="16" t="s">
        <v>401</v>
      </c>
      <c r="C437" s="17" t="s">
        <v>14</v>
      </c>
      <c r="D437" s="17" t="s">
        <v>396</v>
      </c>
      <c r="E437" s="17" t="s">
        <v>402</v>
      </c>
      <c r="F437" s="17"/>
      <c r="G437" s="14">
        <f>SUM(G438)</f>
        <v>1417.23</v>
      </c>
      <c r="H437" s="14">
        <f t="shared" ref="H437:I437" si="252">SUM(H438)</f>
        <v>2500</v>
      </c>
      <c r="I437" s="14">
        <f t="shared" si="252"/>
        <v>2500</v>
      </c>
    </row>
    <row r="438" spans="1:9" ht="93.75" customHeight="1" x14ac:dyDescent="0.25">
      <c r="A438" s="18">
        <f t="shared" si="230"/>
        <v>427</v>
      </c>
      <c r="B438" s="16" t="s">
        <v>265</v>
      </c>
      <c r="C438" s="17" t="s">
        <v>14</v>
      </c>
      <c r="D438" s="17" t="s">
        <v>396</v>
      </c>
      <c r="E438" s="17" t="s">
        <v>402</v>
      </c>
      <c r="F438" s="17" t="s">
        <v>266</v>
      </c>
      <c r="G438" s="14">
        <f>2000-582.77</f>
        <v>1417.23</v>
      </c>
      <c r="H438" s="14">
        <v>2500</v>
      </c>
      <c r="I438" s="14">
        <v>2500</v>
      </c>
    </row>
    <row r="439" spans="1:9" ht="74.25" customHeight="1" x14ac:dyDescent="0.25">
      <c r="A439" s="18">
        <f t="shared" si="230"/>
        <v>428</v>
      </c>
      <c r="B439" s="16" t="s">
        <v>838</v>
      </c>
      <c r="C439" s="17" t="s">
        <v>14</v>
      </c>
      <c r="D439" s="17" t="s">
        <v>396</v>
      </c>
      <c r="E439" s="27" t="s">
        <v>839</v>
      </c>
      <c r="F439" s="17"/>
      <c r="G439" s="14">
        <f>SUM(G440)</f>
        <v>2422.4299999999998</v>
      </c>
      <c r="H439" s="14">
        <f t="shared" ref="H439:I439" si="253">SUM(H440)</f>
        <v>0</v>
      </c>
      <c r="I439" s="14">
        <f t="shared" si="253"/>
        <v>0</v>
      </c>
    </row>
    <row r="440" spans="1:9" ht="40.5" customHeight="1" x14ac:dyDescent="0.25">
      <c r="A440" s="18">
        <f t="shared" si="230"/>
        <v>429</v>
      </c>
      <c r="B440" s="16" t="s">
        <v>157</v>
      </c>
      <c r="C440" s="17" t="s">
        <v>14</v>
      </c>
      <c r="D440" s="17" t="s">
        <v>396</v>
      </c>
      <c r="E440" s="27" t="s">
        <v>839</v>
      </c>
      <c r="F440" s="17">
        <v>610</v>
      </c>
      <c r="G440" s="14">
        <v>2422.4299999999998</v>
      </c>
      <c r="H440" s="14">
        <v>0</v>
      </c>
      <c r="I440" s="14">
        <v>0</v>
      </c>
    </row>
    <row r="441" spans="1:9" ht="41.25" customHeight="1" x14ac:dyDescent="0.25">
      <c r="A441" s="18">
        <f t="shared" si="230"/>
        <v>430</v>
      </c>
      <c r="B441" s="16" t="s">
        <v>165</v>
      </c>
      <c r="C441" s="17" t="s">
        <v>14</v>
      </c>
      <c r="D441" s="17" t="s">
        <v>396</v>
      </c>
      <c r="E441" s="17" t="s">
        <v>166</v>
      </c>
      <c r="F441" s="17"/>
      <c r="G441" s="14">
        <f>SUM(G442+G444)</f>
        <v>12198.99</v>
      </c>
      <c r="H441" s="14">
        <f t="shared" ref="H441:I441" si="254">SUM(H442+H444)</f>
        <v>12497.06</v>
      </c>
      <c r="I441" s="14">
        <f t="shared" si="254"/>
        <v>12908.77</v>
      </c>
    </row>
    <row r="442" spans="1:9" ht="73.5" customHeight="1" x14ac:dyDescent="0.25">
      <c r="A442" s="18">
        <f t="shared" si="230"/>
        <v>431</v>
      </c>
      <c r="B442" s="16" t="s">
        <v>403</v>
      </c>
      <c r="C442" s="17" t="s">
        <v>14</v>
      </c>
      <c r="D442" s="17" t="s">
        <v>396</v>
      </c>
      <c r="E442" s="17" t="s">
        <v>404</v>
      </c>
      <c r="F442" s="17"/>
      <c r="G442" s="14">
        <f>SUM(G443)</f>
        <v>6811.3</v>
      </c>
      <c r="H442" s="14">
        <f t="shared" ref="H442:I442" si="255">SUM(H443)</f>
        <v>6975.5</v>
      </c>
      <c r="I442" s="14">
        <f t="shared" si="255"/>
        <v>7191.2</v>
      </c>
    </row>
    <row r="443" spans="1:9" ht="36" x14ac:dyDescent="0.25">
      <c r="A443" s="18">
        <f t="shared" si="230"/>
        <v>432</v>
      </c>
      <c r="B443" s="16" t="s">
        <v>157</v>
      </c>
      <c r="C443" s="17" t="s">
        <v>14</v>
      </c>
      <c r="D443" s="17" t="s">
        <v>396</v>
      </c>
      <c r="E443" s="17" t="s">
        <v>404</v>
      </c>
      <c r="F443" s="17" t="s">
        <v>158</v>
      </c>
      <c r="G443" s="14">
        <v>6811.3</v>
      </c>
      <c r="H443" s="14">
        <v>6975.5</v>
      </c>
      <c r="I443" s="14">
        <v>7191.2</v>
      </c>
    </row>
    <row r="444" spans="1:9" ht="59.25" customHeight="1" x14ac:dyDescent="0.25">
      <c r="A444" s="18">
        <f t="shared" si="230"/>
        <v>433</v>
      </c>
      <c r="B444" s="16" t="s">
        <v>405</v>
      </c>
      <c r="C444" s="17" t="s">
        <v>14</v>
      </c>
      <c r="D444" s="17" t="s">
        <v>396</v>
      </c>
      <c r="E444" s="17" t="s">
        <v>406</v>
      </c>
      <c r="F444" s="17"/>
      <c r="G444" s="14">
        <f>SUM(G445:G446)</f>
        <v>5387.69</v>
      </c>
      <c r="H444" s="14">
        <f t="shared" ref="H444:I444" si="256">SUM(H445:H446)</f>
        <v>5521.5599999999995</v>
      </c>
      <c r="I444" s="14">
        <f t="shared" si="256"/>
        <v>5717.57</v>
      </c>
    </row>
    <row r="445" spans="1:9" ht="36" x14ac:dyDescent="0.25">
      <c r="A445" s="18">
        <f t="shared" si="230"/>
        <v>434</v>
      </c>
      <c r="B445" s="16" t="s">
        <v>106</v>
      </c>
      <c r="C445" s="17" t="s">
        <v>14</v>
      </c>
      <c r="D445" s="17" t="s">
        <v>396</v>
      </c>
      <c r="E445" s="17" t="s">
        <v>406</v>
      </c>
      <c r="F445" s="17" t="s">
        <v>107</v>
      </c>
      <c r="G445" s="14">
        <f>4793.19-19</f>
        <v>4774.1899999999996</v>
      </c>
      <c r="H445" s="14">
        <v>4985.37</v>
      </c>
      <c r="I445" s="14">
        <v>5179.57</v>
      </c>
    </row>
    <row r="446" spans="1:9" ht="54.75" customHeight="1" x14ac:dyDescent="0.25">
      <c r="A446" s="18">
        <f t="shared" si="230"/>
        <v>435</v>
      </c>
      <c r="B446" s="16" t="s">
        <v>33</v>
      </c>
      <c r="C446" s="17" t="s">
        <v>14</v>
      </c>
      <c r="D446" s="17" t="s">
        <v>396</v>
      </c>
      <c r="E446" s="17" t="s">
        <v>406</v>
      </c>
      <c r="F446" s="17" t="s">
        <v>34</v>
      </c>
      <c r="G446" s="14">
        <f>594.5+19</f>
        <v>613.5</v>
      </c>
      <c r="H446" s="14">
        <v>536.19000000000005</v>
      </c>
      <c r="I446" s="14">
        <v>538</v>
      </c>
    </row>
    <row r="447" spans="1:9" ht="21.75" customHeight="1" x14ac:dyDescent="0.25">
      <c r="A447" s="18">
        <f t="shared" si="230"/>
        <v>436</v>
      </c>
      <c r="B447" s="16" t="s">
        <v>811</v>
      </c>
      <c r="C447" s="17" t="s">
        <v>14</v>
      </c>
      <c r="D447" s="17" t="s">
        <v>396</v>
      </c>
      <c r="E447" s="27" t="s">
        <v>45</v>
      </c>
      <c r="F447" s="17"/>
      <c r="G447" s="14">
        <f>SUM(G451+G448)</f>
        <v>1702.72</v>
      </c>
      <c r="H447" s="14">
        <f t="shared" ref="H447:I447" si="257">SUM(H451+H448)</f>
        <v>0</v>
      </c>
      <c r="I447" s="14">
        <f t="shared" si="257"/>
        <v>0</v>
      </c>
    </row>
    <row r="448" spans="1:9" ht="147" customHeight="1" x14ac:dyDescent="0.25">
      <c r="A448" s="18">
        <f t="shared" si="230"/>
        <v>437</v>
      </c>
      <c r="B448" s="16" t="s">
        <v>883</v>
      </c>
      <c r="C448" s="17" t="s">
        <v>14</v>
      </c>
      <c r="D448" s="17" t="s">
        <v>396</v>
      </c>
      <c r="E448" s="27" t="s">
        <v>882</v>
      </c>
      <c r="F448" s="17"/>
      <c r="G448" s="14">
        <f>SUM(G449:G450)</f>
        <v>305.52</v>
      </c>
      <c r="H448" s="14">
        <f t="shared" ref="H448:I448" si="258">SUM(H449:H450)</f>
        <v>0</v>
      </c>
      <c r="I448" s="14">
        <f t="shared" si="258"/>
        <v>0</v>
      </c>
    </row>
    <row r="449" spans="1:9" ht="21.75" customHeight="1" x14ac:dyDescent="0.25">
      <c r="A449" s="18">
        <f t="shared" si="230"/>
        <v>438</v>
      </c>
      <c r="B449" s="16" t="s">
        <v>106</v>
      </c>
      <c r="C449" s="17" t="s">
        <v>14</v>
      </c>
      <c r="D449" s="17" t="s">
        <v>396</v>
      </c>
      <c r="E449" s="27" t="s">
        <v>882</v>
      </c>
      <c r="F449" s="17">
        <v>110</v>
      </c>
      <c r="G449" s="14">
        <v>123.38</v>
      </c>
      <c r="H449" s="14">
        <v>0</v>
      </c>
      <c r="I449" s="14">
        <v>0</v>
      </c>
    </row>
    <row r="450" spans="1:9" ht="21.75" customHeight="1" x14ac:dyDescent="0.25">
      <c r="A450" s="18">
        <f t="shared" si="230"/>
        <v>439</v>
      </c>
      <c r="B450" s="16" t="s">
        <v>157</v>
      </c>
      <c r="C450" s="17" t="s">
        <v>14</v>
      </c>
      <c r="D450" s="17" t="s">
        <v>396</v>
      </c>
      <c r="E450" s="27" t="s">
        <v>882</v>
      </c>
      <c r="F450" s="17">
        <v>610</v>
      </c>
      <c r="G450" s="14">
        <v>182.14</v>
      </c>
      <c r="H450" s="14">
        <v>0</v>
      </c>
      <c r="I450" s="14">
        <v>0</v>
      </c>
    </row>
    <row r="451" spans="1:9" ht="110.25" customHeight="1" x14ac:dyDescent="0.25">
      <c r="A451" s="18">
        <f t="shared" si="230"/>
        <v>440</v>
      </c>
      <c r="B451" s="16" t="s">
        <v>848</v>
      </c>
      <c r="C451" s="17" t="s">
        <v>14</v>
      </c>
      <c r="D451" s="17" t="s">
        <v>396</v>
      </c>
      <c r="E451" s="27" t="s">
        <v>846</v>
      </c>
      <c r="F451" s="17"/>
      <c r="G451" s="14">
        <f>SUM(G452)</f>
        <v>1397.2</v>
      </c>
      <c r="H451" s="14">
        <f t="shared" ref="H451:I451" si="259">SUM(H452)</f>
        <v>0</v>
      </c>
      <c r="I451" s="14">
        <f t="shared" si="259"/>
        <v>0</v>
      </c>
    </row>
    <row r="452" spans="1:9" ht="93" customHeight="1" x14ac:dyDescent="0.25">
      <c r="A452" s="18">
        <f t="shared" si="230"/>
        <v>441</v>
      </c>
      <c r="B452" s="16" t="s">
        <v>265</v>
      </c>
      <c r="C452" s="17" t="s">
        <v>14</v>
      </c>
      <c r="D452" s="17" t="s">
        <v>396</v>
      </c>
      <c r="E452" s="27" t="s">
        <v>846</v>
      </c>
      <c r="F452" s="17">
        <v>810</v>
      </c>
      <c r="G452" s="14">
        <v>1397.2</v>
      </c>
      <c r="H452" s="14">
        <v>0</v>
      </c>
      <c r="I452" s="14">
        <v>0</v>
      </c>
    </row>
    <row r="453" spans="1:9" ht="24.75" customHeight="1" x14ac:dyDescent="0.25">
      <c r="A453" s="19">
        <f t="shared" si="230"/>
        <v>442</v>
      </c>
      <c r="B453" s="20" t="s">
        <v>407</v>
      </c>
      <c r="C453" s="21" t="s">
        <v>14</v>
      </c>
      <c r="D453" s="21" t="s">
        <v>408</v>
      </c>
      <c r="E453" s="21"/>
      <c r="F453" s="21"/>
      <c r="G453" s="13">
        <f>SUM(G454+G459+G468)</f>
        <v>4385.43</v>
      </c>
      <c r="H453" s="13">
        <f t="shared" ref="H453:I453" si="260">SUM(H454+H459+H468)</f>
        <v>2410.75</v>
      </c>
      <c r="I453" s="13">
        <f t="shared" si="260"/>
        <v>2079.81</v>
      </c>
    </row>
    <row r="454" spans="1:9" ht="36" x14ac:dyDescent="0.25">
      <c r="A454" s="19">
        <f t="shared" si="230"/>
        <v>443</v>
      </c>
      <c r="B454" s="20" t="s">
        <v>409</v>
      </c>
      <c r="C454" s="21" t="s">
        <v>14</v>
      </c>
      <c r="D454" s="21" t="s">
        <v>410</v>
      </c>
      <c r="E454" s="21"/>
      <c r="F454" s="21"/>
      <c r="G454" s="13">
        <f>SUM(G455)</f>
        <v>90.1</v>
      </c>
      <c r="H454" s="13">
        <f t="shared" ref="H454:I454" si="261">SUM(H455)</f>
        <v>90.1</v>
      </c>
      <c r="I454" s="13">
        <f t="shared" si="261"/>
        <v>90.1</v>
      </c>
    </row>
    <row r="455" spans="1:9" ht="93.75" customHeight="1" x14ac:dyDescent="0.25">
      <c r="A455" s="18">
        <f t="shared" si="230"/>
        <v>444</v>
      </c>
      <c r="B455" s="16" t="s">
        <v>163</v>
      </c>
      <c r="C455" s="17" t="s">
        <v>14</v>
      </c>
      <c r="D455" s="17" t="s">
        <v>410</v>
      </c>
      <c r="E455" s="17" t="s">
        <v>164</v>
      </c>
      <c r="F455" s="17"/>
      <c r="G455" s="14">
        <f>SUM(G456)</f>
        <v>90.1</v>
      </c>
      <c r="H455" s="14">
        <f t="shared" ref="H455:I455" si="262">SUM(H456)</f>
        <v>90.1</v>
      </c>
      <c r="I455" s="14">
        <f t="shared" si="262"/>
        <v>90.1</v>
      </c>
    </row>
    <row r="456" spans="1:9" ht="54" x14ac:dyDescent="0.25">
      <c r="A456" s="18">
        <f t="shared" si="230"/>
        <v>445</v>
      </c>
      <c r="B456" s="16" t="s">
        <v>342</v>
      </c>
      <c r="C456" s="17" t="s">
        <v>14</v>
      </c>
      <c r="D456" s="17" t="s">
        <v>410</v>
      </c>
      <c r="E456" s="17" t="s">
        <v>343</v>
      </c>
      <c r="F456" s="17"/>
      <c r="G456" s="14">
        <f>SUM(G457)</f>
        <v>90.1</v>
      </c>
      <c r="H456" s="14">
        <f t="shared" ref="H456:I456" si="263">SUM(H457)</f>
        <v>90.1</v>
      </c>
      <c r="I456" s="14">
        <f t="shared" si="263"/>
        <v>90.1</v>
      </c>
    </row>
    <row r="457" spans="1:9" ht="18" x14ac:dyDescent="0.25">
      <c r="A457" s="18">
        <f t="shared" si="230"/>
        <v>446</v>
      </c>
      <c r="B457" s="16" t="s">
        <v>411</v>
      </c>
      <c r="C457" s="17" t="s">
        <v>14</v>
      </c>
      <c r="D457" s="17" t="s">
        <v>410</v>
      </c>
      <c r="E457" s="17" t="s">
        <v>412</v>
      </c>
      <c r="F457" s="17"/>
      <c r="G457" s="14">
        <f>SUM(G458)</f>
        <v>90.1</v>
      </c>
      <c r="H457" s="14">
        <f t="shared" ref="H457:I457" si="264">SUM(H458)</f>
        <v>90.1</v>
      </c>
      <c r="I457" s="14">
        <f t="shared" si="264"/>
        <v>90.1</v>
      </c>
    </row>
    <row r="458" spans="1:9" ht="36" x14ac:dyDescent="0.25">
      <c r="A458" s="18">
        <f t="shared" si="230"/>
        <v>447</v>
      </c>
      <c r="B458" s="16" t="s">
        <v>157</v>
      </c>
      <c r="C458" s="17" t="s">
        <v>14</v>
      </c>
      <c r="D458" s="17" t="s">
        <v>410</v>
      </c>
      <c r="E458" s="17" t="s">
        <v>412</v>
      </c>
      <c r="F458" s="17" t="s">
        <v>158</v>
      </c>
      <c r="G458" s="14">
        <v>90.1</v>
      </c>
      <c r="H458" s="14">
        <v>90.1</v>
      </c>
      <c r="I458" s="14">
        <v>90.1</v>
      </c>
    </row>
    <row r="459" spans="1:9" ht="41.25" customHeight="1" x14ac:dyDescent="0.25">
      <c r="A459" s="19">
        <f t="shared" si="230"/>
        <v>448</v>
      </c>
      <c r="B459" s="20" t="s">
        <v>413</v>
      </c>
      <c r="C459" s="21" t="s">
        <v>14</v>
      </c>
      <c r="D459" s="21" t="s">
        <v>414</v>
      </c>
      <c r="E459" s="21"/>
      <c r="F459" s="21"/>
      <c r="G459" s="13">
        <f>SUM(G460)</f>
        <v>799</v>
      </c>
      <c r="H459" s="13">
        <f t="shared" ref="H459:I459" si="265">SUM(H460)</f>
        <v>819</v>
      </c>
      <c r="I459" s="13">
        <f t="shared" si="265"/>
        <v>469</v>
      </c>
    </row>
    <row r="460" spans="1:9" ht="93" customHeight="1" x14ac:dyDescent="0.25">
      <c r="A460" s="18">
        <f t="shared" si="230"/>
        <v>449</v>
      </c>
      <c r="B460" s="16" t="s">
        <v>163</v>
      </c>
      <c r="C460" s="17" t="s">
        <v>14</v>
      </c>
      <c r="D460" s="17" t="s">
        <v>414</v>
      </c>
      <c r="E460" s="17" t="s">
        <v>164</v>
      </c>
      <c r="F460" s="17"/>
      <c r="G460" s="14">
        <f>SUM(G461)</f>
        <v>799</v>
      </c>
      <c r="H460" s="14">
        <f t="shared" ref="H460:I460" si="266">SUM(H461)</f>
        <v>819</v>
      </c>
      <c r="I460" s="14">
        <f t="shared" si="266"/>
        <v>469</v>
      </c>
    </row>
    <row r="461" spans="1:9" ht="54" x14ac:dyDescent="0.25">
      <c r="A461" s="18">
        <f t="shared" si="230"/>
        <v>450</v>
      </c>
      <c r="B461" s="16" t="s">
        <v>342</v>
      </c>
      <c r="C461" s="17" t="s">
        <v>14</v>
      </c>
      <c r="D461" s="17" t="s">
        <v>414</v>
      </c>
      <c r="E461" s="17" t="s">
        <v>343</v>
      </c>
      <c r="F461" s="17"/>
      <c r="G461" s="14">
        <f>SUM(G462+G464+G466)</f>
        <v>799</v>
      </c>
      <c r="H461" s="14">
        <f t="shared" ref="H461:I461" si="267">SUM(H462+H464+H466)</f>
        <v>819</v>
      </c>
      <c r="I461" s="14">
        <f t="shared" si="267"/>
        <v>469</v>
      </c>
    </row>
    <row r="462" spans="1:9" ht="90" x14ac:dyDescent="0.25">
      <c r="A462" s="18">
        <f t="shared" si="230"/>
        <v>451</v>
      </c>
      <c r="B462" s="16" t="s">
        <v>415</v>
      </c>
      <c r="C462" s="17" t="s">
        <v>14</v>
      </c>
      <c r="D462" s="17" t="s">
        <v>414</v>
      </c>
      <c r="E462" s="17" t="s">
        <v>416</v>
      </c>
      <c r="F462" s="17"/>
      <c r="G462" s="14">
        <f>SUM(G463)</f>
        <v>400</v>
      </c>
      <c r="H462" s="14">
        <f t="shared" ref="H462:I462" si="268">SUM(H463)</f>
        <v>400</v>
      </c>
      <c r="I462" s="14">
        <f t="shared" si="268"/>
        <v>50</v>
      </c>
    </row>
    <row r="463" spans="1:9" ht="56.25" customHeight="1" x14ac:dyDescent="0.25">
      <c r="A463" s="18">
        <f t="shared" si="230"/>
        <v>452</v>
      </c>
      <c r="B463" s="16" t="s">
        <v>33</v>
      </c>
      <c r="C463" s="17" t="s">
        <v>14</v>
      </c>
      <c r="D463" s="17" t="s">
        <v>414</v>
      </c>
      <c r="E463" s="17" t="s">
        <v>416</v>
      </c>
      <c r="F463" s="17" t="s">
        <v>34</v>
      </c>
      <c r="G463" s="14">
        <v>400</v>
      </c>
      <c r="H463" s="14">
        <v>400</v>
      </c>
      <c r="I463" s="14">
        <v>50</v>
      </c>
    </row>
    <row r="464" spans="1:9" ht="36" x14ac:dyDescent="0.25">
      <c r="A464" s="18">
        <f t="shared" si="230"/>
        <v>453</v>
      </c>
      <c r="B464" s="16" t="s">
        <v>417</v>
      </c>
      <c r="C464" s="17" t="s">
        <v>14</v>
      </c>
      <c r="D464" s="17" t="s">
        <v>414</v>
      </c>
      <c r="E464" s="17" t="s">
        <v>418</v>
      </c>
      <c r="F464" s="17"/>
      <c r="G464" s="14">
        <f>SUM(G465)</f>
        <v>250</v>
      </c>
      <c r="H464" s="14">
        <f t="shared" ref="H464:I464" si="269">SUM(H465)</f>
        <v>270</v>
      </c>
      <c r="I464" s="14">
        <f t="shared" si="269"/>
        <v>270</v>
      </c>
    </row>
    <row r="465" spans="1:9" ht="36" x14ac:dyDescent="0.25">
      <c r="A465" s="18">
        <f t="shared" si="230"/>
        <v>454</v>
      </c>
      <c r="B465" s="16" t="s">
        <v>157</v>
      </c>
      <c r="C465" s="17" t="s">
        <v>14</v>
      </c>
      <c r="D465" s="17" t="s">
        <v>414</v>
      </c>
      <c r="E465" s="17" t="s">
        <v>418</v>
      </c>
      <c r="F465" s="17" t="s">
        <v>158</v>
      </c>
      <c r="G465" s="14">
        <v>250</v>
      </c>
      <c r="H465" s="14">
        <v>270</v>
      </c>
      <c r="I465" s="14">
        <v>270</v>
      </c>
    </row>
    <row r="466" spans="1:9" ht="108" x14ac:dyDescent="0.25">
      <c r="A466" s="18">
        <f t="shared" si="230"/>
        <v>455</v>
      </c>
      <c r="B466" s="16" t="s">
        <v>855</v>
      </c>
      <c r="C466" s="17" t="s">
        <v>14</v>
      </c>
      <c r="D466" s="17" t="s">
        <v>414</v>
      </c>
      <c r="E466" s="17" t="s">
        <v>419</v>
      </c>
      <c r="F466" s="17"/>
      <c r="G466" s="14">
        <f>SUM(G467)</f>
        <v>149</v>
      </c>
      <c r="H466" s="14">
        <f t="shared" ref="H466:I466" si="270">SUM(H467)</f>
        <v>149</v>
      </c>
      <c r="I466" s="14">
        <f t="shared" si="270"/>
        <v>149</v>
      </c>
    </row>
    <row r="467" spans="1:9" ht="36" x14ac:dyDescent="0.25">
      <c r="A467" s="18">
        <f t="shared" si="230"/>
        <v>456</v>
      </c>
      <c r="B467" s="16" t="s">
        <v>157</v>
      </c>
      <c r="C467" s="17" t="s">
        <v>14</v>
      </c>
      <c r="D467" s="17" t="s">
        <v>414</v>
      </c>
      <c r="E467" s="17" t="s">
        <v>419</v>
      </c>
      <c r="F467" s="17" t="s">
        <v>158</v>
      </c>
      <c r="G467" s="14">
        <v>149</v>
      </c>
      <c r="H467" s="14">
        <v>149</v>
      </c>
      <c r="I467" s="14">
        <v>149</v>
      </c>
    </row>
    <row r="468" spans="1:9" ht="36" x14ac:dyDescent="0.25">
      <c r="A468" s="19">
        <f t="shared" si="230"/>
        <v>457</v>
      </c>
      <c r="B468" s="20" t="s">
        <v>420</v>
      </c>
      <c r="C468" s="21" t="s">
        <v>14</v>
      </c>
      <c r="D468" s="21" t="s">
        <v>421</v>
      </c>
      <c r="E468" s="21"/>
      <c r="F468" s="21"/>
      <c r="G468" s="13">
        <f>SUM(G469+G477)</f>
        <v>3496.33</v>
      </c>
      <c r="H468" s="13">
        <f t="shared" ref="H468:I468" si="271">SUM(H469+H477)</f>
        <v>1501.65</v>
      </c>
      <c r="I468" s="13">
        <f t="shared" si="271"/>
        <v>1520.71</v>
      </c>
    </row>
    <row r="469" spans="1:9" ht="94.5" customHeight="1" x14ac:dyDescent="0.25">
      <c r="A469" s="18">
        <f t="shared" si="230"/>
        <v>458</v>
      </c>
      <c r="B469" s="16" t="s">
        <v>163</v>
      </c>
      <c r="C469" s="17" t="s">
        <v>14</v>
      </c>
      <c r="D469" s="17" t="s">
        <v>421</v>
      </c>
      <c r="E469" s="17" t="s">
        <v>164</v>
      </c>
      <c r="F469" s="17"/>
      <c r="G469" s="14">
        <f>SUM(G470)</f>
        <v>3481.68</v>
      </c>
      <c r="H469" s="14">
        <f t="shared" ref="H469:I469" si="272">SUM(H470)</f>
        <v>1501.65</v>
      </c>
      <c r="I469" s="14">
        <f t="shared" si="272"/>
        <v>1520.71</v>
      </c>
    </row>
    <row r="470" spans="1:9" ht="54" x14ac:dyDescent="0.25">
      <c r="A470" s="18">
        <f t="shared" ref="A470:A539" si="273">SUM(A469+1)</f>
        <v>459</v>
      </c>
      <c r="B470" s="16" t="s">
        <v>342</v>
      </c>
      <c r="C470" s="17" t="s">
        <v>14</v>
      </c>
      <c r="D470" s="17" t="s">
        <v>421</v>
      </c>
      <c r="E470" s="17" t="s">
        <v>343</v>
      </c>
      <c r="F470" s="17"/>
      <c r="G470" s="14">
        <f>SUM(G471+G473+G475)</f>
        <v>3481.68</v>
      </c>
      <c r="H470" s="14">
        <f t="shared" ref="H470:I470" si="274">SUM(H471+H473+H475)</f>
        <v>1501.65</v>
      </c>
      <c r="I470" s="14">
        <f t="shared" si="274"/>
        <v>1520.71</v>
      </c>
    </row>
    <row r="471" spans="1:9" ht="54" x14ac:dyDescent="0.25">
      <c r="A471" s="18">
        <f t="shared" si="273"/>
        <v>460</v>
      </c>
      <c r="B471" s="16" t="s">
        <v>422</v>
      </c>
      <c r="C471" s="17" t="s">
        <v>14</v>
      </c>
      <c r="D471" s="17" t="s">
        <v>421</v>
      </c>
      <c r="E471" s="17" t="s">
        <v>423</v>
      </c>
      <c r="F471" s="17"/>
      <c r="G471" s="14">
        <f>SUM(G472)</f>
        <v>476.18</v>
      </c>
      <c r="H471" s="14">
        <f t="shared" ref="H471:I471" si="275">SUM(H472)</f>
        <v>496.15</v>
      </c>
      <c r="I471" s="14">
        <f t="shared" si="275"/>
        <v>515.21</v>
      </c>
    </row>
    <row r="472" spans="1:9" ht="36" x14ac:dyDescent="0.25">
      <c r="A472" s="18">
        <f t="shared" si="273"/>
        <v>461</v>
      </c>
      <c r="B472" s="16" t="s">
        <v>157</v>
      </c>
      <c r="C472" s="17" t="s">
        <v>14</v>
      </c>
      <c r="D472" s="17" t="s">
        <v>421</v>
      </c>
      <c r="E472" s="17" t="s">
        <v>423</v>
      </c>
      <c r="F472" s="17" t="s">
        <v>158</v>
      </c>
      <c r="G472" s="14">
        <v>476.18</v>
      </c>
      <c r="H472" s="14">
        <v>496.15</v>
      </c>
      <c r="I472" s="14">
        <v>515.21</v>
      </c>
    </row>
    <row r="473" spans="1:9" ht="90" x14ac:dyDescent="0.25">
      <c r="A473" s="18">
        <f t="shared" si="273"/>
        <v>462</v>
      </c>
      <c r="B473" s="16" t="s">
        <v>424</v>
      </c>
      <c r="C473" s="17" t="s">
        <v>14</v>
      </c>
      <c r="D473" s="17" t="s">
        <v>421</v>
      </c>
      <c r="E473" s="17" t="s">
        <v>425</v>
      </c>
      <c r="F473" s="17"/>
      <c r="G473" s="14">
        <f>SUM(G474)</f>
        <v>3000</v>
      </c>
      <c r="H473" s="14">
        <f t="shared" ref="H473:I473" si="276">SUM(H474)</f>
        <v>1000</v>
      </c>
      <c r="I473" s="14">
        <f t="shared" si="276"/>
        <v>1000</v>
      </c>
    </row>
    <row r="474" spans="1:9" ht="54" customHeight="1" x14ac:dyDescent="0.25">
      <c r="A474" s="18">
        <f t="shared" si="273"/>
        <v>463</v>
      </c>
      <c r="B474" s="16" t="s">
        <v>33</v>
      </c>
      <c r="C474" s="17" t="s">
        <v>14</v>
      </c>
      <c r="D474" s="17" t="s">
        <v>421</v>
      </c>
      <c r="E474" s="17" t="s">
        <v>425</v>
      </c>
      <c r="F474" s="17" t="s">
        <v>34</v>
      </c>
      <c r="G474" s="14">
        <v>3000</v>
      </c>
      <c r="H474" s="14">
        <v>1000</v>
      </c>
      <c r="I474" s="14">
        <v>1000</v>
      </c>
    </row>
    <row r="475" spans="1:9" ht="23.25" customHeight="1" x14ac:dyDescent="0.25">
      <c r="A475" s="18">
        <f t="shared" si="273"/>
        <v>464</v>
      </c>
      <c r="B475" s="16" t="s">
        <v>426</v>
      </c>
      <c r="C475" s="17" t="s">
        <v>14</v>
      </c>
      <c r="D475" s="17" t="s">
        <v>421</v>
      </c>
      <c r="E475" s="17" t="s">
        <v>427</v>
      </c>
      <c r="F475" s="17"/>
      <c r="G475" s="14">
        <f>SUM(G476)</f>
        <v>5.5</v>
      </c>
      <c r="H475" s="14">
        <f t="shared" ref="H475:I475" si="277">SUM(H476)</f>
        <v>5.5</v>
      </c>
      <c r="I475" s="14">
        <f t="shared" si="277"/>
        <v>5.5</v>
      </c>
    </row>
    <row r="476" spans="1:9" ht="36" x14ac:dyDescent="0.25">
      <c r="A476" s="18">
        <f t="shared" si="273"/>
        <v>465</v>
      </c>
      <c r="B476" s="16" t="s">
        <v>157</v>
      </c>
      <c r="C476" s="17" t="s">
        <v>14</v>
      </c>
      <c r="D476" s="17" t="s">
        <v>421</v>
      </c>
      <c r="E476" s="17" t="s">
        <v>427</v>
      </c>
      <c r="F476" s="17" t="s">
        <v>158</v>
      </c>
      <c r="G476" s="14">
        <v>5.5</v>
      </c>
      <c r="H476" s="14">
        <v>5.5</v>
      </c>
      <c r="I476" s="14">
        <v>5.5</v>
      </c>
    </row>
    <row r="477" spans="1:9" ht="18" x14ac:dyDescent="0.25">
      <c r="A477" s="18">
        <f t="shared" si="273"/>
        <v>466</v>
      </c>
      <c r="B477" s="16" t="s">
        <v>811</v>
      </c>
      <c r="C477" s="17" t="s">
        <v>14</v>
      </c>
      <c r="D477" s="17" t="s">
        <v>421</v>
      </c>
      <c r="E477" s="27" t="s">
        <v>45</v>
      </c>
      <c r="F477" s="17"/>
      <c r="G477" s="14">
        <f>SUM(G478)</f>
        <v>14.65</v>
      </c>
      <c r="H477" s="14">
        <f t="shared" ref="H477:I478" si="278">SUM(H478)</f>
        <v>0</v>
      </c>
      <c r="I477" s="14">
        <f t="shared" si="278"/>
        <v>0</v>
      </c>
    </row>
    <row r="478" spans="1:9" ht="144" x14ac:dyDescent="0.25">
      <c r="A478" s="18">
        <f t="shared" si="273"/>
        <v>467</v>
      </c>
      <c r="B478" s="16" t="s">
        <v>883</v>
      </c>
      <c r="C478" s="17" t="s">
        <v>14</v>
      </c>
      <c r="D478" s="17" t="s">
        <v>421</v>
      </c>
      <c r="E478" s="27" t="s">
        <v>882</v>
      </c>
      <c r="F478" s="17"/>
      <c r="G478" s="14">
        <f>SUM(G479)</f>
        <v>14.65</v>
      </c>
      <c r="H478" s="14">
        <f t="shared" si="278"/>
        <v>0</v>
      </c>
      <c r="I478" s="14">
        <f t="shared" si="278"/>
        <v>0</v>
      </c>
    </row>
    <row r="479" spans="1:9" ht="36" x14ac:dyDescent="0.25">
      <c r="A479" s="18">
        <f t="shared" si="273"/>
        <v>468</v>
      </c>
      <c r="B479" s="16" t="s">
        <v>157</v>
      </c>
      <c r="C479" s="17" t="s">
        <v>14</v>
      </c>
      <c r="D479" s="17" t="s">
        <v>421</v>
      </c>
      <c r="E479" s="27" t="s">
        <v>882</v>
      </c>
      <c r="F479" s="17">
        <v>610</v>
      </c>
      <c r="G479" s="14">
        <v>14.65</v>
      </c>
      <c r="H479" s="14">
        <v>0</v>
      </c>
      <c r="I479" s="14">
        <v>0</v>
      </c>
    </row>
    <row r="480" spans="1:9" ht="18" x14ac:dyDescent="0.25">
      <c r="A480" s="19">
        <f t="shared" si="273"/>
        <v>469</v>
      </c>
      <c r="B480" s="20" t="s">
        <v>428</v>
      </c>
      <c r="C480" s="21" t="s">
        <v>14</v>
      </c>
      <c r="D480" s="21" t="s">
        <v>429</v>
      </c>
      <c r="E480" s="21"/>
      <c r="F480" s="21"/>
      <c r="G480" s="13">
        <f>SUM(G481+G524)</f>
        <v>13179.089999999998</v>
      </c>
      <c r="H480" s="13">
        <f t="shared" ref="H480:I480" si="279">SUM(H481+H524)</f>
        <v>10608.32</v>
      </c>
      <c r="I480" s="13">
        <f t="shared" si="279"/>
        <v>10135.68</v>
      </c>
    </row>
    <row r="481" spans="1:9" ht="18" x14ac:dyDescent="0.25">
      <c r="A481" s="19">
        <f t="shared" si="273"/>
        <v>470</v>
      </c>
      <c r="B481" s="20" t="s">
        <v>430</v>
      </c>
      <c r="C481" s="21" t="s">
        <v>14</v>
      </c>
      <c r="D481" s="21" t="s">
        <v>431</v>
      </c>
      <c r="E481" s="21"/>
      <c r="F481" s="21"/>
      <c r="G481" s="13">
        <f>SUM(G482+G490+G518+G521)</f>
        <v>12595.119999999999</v>
      </c>
      <c r="H481" s="13">
        <f t="shared" ref="H481:I481" si="280">SUM(H482+H490+H518+H521)</f>
        <v>10608.32</v>
      </c>
      <c r="I481" s="13">
        <f t="shared" si="280"/>
        <v>10135.68</v>
      </c>
    </row>
    <row r="482" spans="1:9" ht="72" x14ac:dyDescent="0.25">
      <c r="A482" s="18">
        <f t="shared" si="273"/>
        <v>471</v>
      </c>
      <c r="B482" s="16" t="s">
        <v>80</v>
      </c>
      <c r="C482" s="17" t="s">
        <v>14</v>
      </c>
      <c r="D482" s="17" t="s">
        <v>431</v>
      </c>
      <c r="E482" s="17" t="s">
        <v>81</v>
      </c>
      <c r="F482" s="17"/>
      <c r="G482" s="14">
        <f>SUM(G483)</f>
        <v>72</v>
      </c>
      <c r="H482" s="14">
        <f t="shared" ref="H482:I482" si="281">SUM(H483)</f>
        <v>72</v>
      </c>
      <c r="I482" s="14">
        <f t="shared" si="281"/>
        <v>72</v>
      </c>
    </row>
    <row r="483" spans="1:9" ht="54" x14ac:dyDescent="0.25">
      <c r="A483" s="18">
        <f t="shared" si="273"/>
        <v>472</v>
      </c>
      <c r="B483" s="16" t="s">
        <v>432</v>
      </c>
      <c r="C483" s="17" t="s">
        <v>14</v>
      </c>
      <c r="D483" s="17" t="s">
        <v>431</v>
      </c>
      <c r="E483" s="17" t="s">
        <v>433</v>
      </c>
      <c r="F483" s="17"/>
      <c r="G483" s="14">
        <f>SUM(G484+G486+G488)</f>
        <v>72</v>
      </c>
      <c r="H483" s="14">
        <f t="shared" ref="H483:I483" si="282">SUM(H484+H486+H488)</f>
        <v>72</v>
      </c>
      <c r="I483" s="14">
        <f t="shared" si="282"/>
        <v>72</v>
      </c>
    </row>
    <row r="484" spans="1:9" ht="42.75" customHeight="1" x14ac:dyDescent="0.25">
      <c r="A484" s="18">
        <f t="shared" si="273"/>
        <v>473</v>
      </c>
      <c r="B484" s="16" t="s">
        <v>434</v>
      </c>
      <c r="C484" s="17" t="s">
        <v>14</v>
      </c>
      <c r="D484" s="17" t="s">
        <v>431</v>
      </c>
      <c r="E484" s="17" t="s">
        <v>435</v>
      </c>
      <c r="F484" s="17"/>
      <c r="G484" s="14">
        <f>SUM(G485)</f>
        <v>22</v>
      </c>
      <c r="H484" s="14">
        <f t="shared" ref="H484:I484" si="283">SUM(H485)</f>
        <v>22</v>
      </c>
      <c r="I484" s="14">
        <f t="shared" si="283"/>
        <v>22</v>
      </c>
    </row>
    <row r="485" spans="1:9" ht="54" customHeight="1" x14ac:dyDescent="0.25">
      <c r="A485" s="18">
        <f t="shared" si="273"/>
        <v>474</v>
      </c>
      <c r="B485" s="16" t="s">
        <v>33</v>
      </c>
      <c r="C485" s="17" t="s">
        <v>14</v>
      </c>
      <c r="D485" s="17" t="s">
        <v>431</v>
      </c>
      <c r="E485" s="17" t="s">
        <v>435</v>
      </c>
      <c r="F485" s="17" t="s">
        <v>34</v>
      </c>
      <c r="G485" s="14">
        <v>22</v>
      </c>
      <c r="H485" s="14">
        <v>22</v>
      </c>
      <c r="I485" s="14">
        <v>22</v>
      </c>
    </row>
    <row r="486" spans="1:9" ht="54" x14ac:dyDescent="0.25">
      <c r="A486" s="18">
        <f t="shared" si="273"/>
        <v>475</v>
      </c>
      <c r="B486" s="16" t="s">
        <v>436</v>
      </c>
      <c r="C486" s="17" t="s">
        <v>14</v>
      </c>
      <c r="D486" s="17" t="s">
        <v>431</v>
      </c>
      <c r="E486" s="17" t="s">
        <v>437</v>
      </c>
      <c r="F486" s="17"/>
      <c r="G486" s="14">
        <f>SUM(G487)</f>
        <v>15</v>
      </c>
      <c r="H486" s="14">
        <f t="shared" ref="H486:I486" si="284">SUM(H487)</f>
        <v>15</v>
      </c>
      <c r="I486" s="14">
        <f t="shared" si="284"/>
        <v>15</v>
      </c>
    </row>
    <row r="487" spans="1:9" ht="57" customHeight="1" x14ac:dyDescent="0.25">
      <c r="A487" s="18">
        <f t="shared" si="273"/>
        <v>476</v>
      </c>
      <c r="B487" s="16" t="s">
        <v>33</v>
      </c>
      <c r="C487" s="17" t="s">
        <v>14</v>
      </c>
      <c r="D487" s="17" t="s">
        <v>431</v>
      </c>
      <c r="E487" s="17" t="s">
        <v>437</v>
      </c>
      <c r="F487" s="17" t="s">
        <v>34</v>
      </c>
      <c r="G487" s="14">
        <v>15</v>
      </c>
      <c r="H487" s="14">
        <v>15</v>
      </c>
      <c r="I487" s="14">
        <v>15</v>
      </c>
    </row>
    <row r="488" spans="1:9" ht="54" x14ac:dyDescent="0.25">
      <c r="A488" s="18">
        <f t="shared" si="273"/>
        <v>477</v>
      </c>
      <c r="B488" s="16" t="s">
        <v>438</v>
      </c>
      <c r="C488" s="17" t="s">
        <v>14</v>
      </c>
      <c r="D488" s="17" t="s">
        <v>431</v>
      </c>
      <c r="E488" s="17" t="s">
        <v>439</v>
      </c>
      <c r="F488" s="17"/>
      <c r="G488" s="14">
        <f>SUM(G489)</f>
        <v>35</v>
      </c>
      <c r="H488" s="14">
        <f t="shared" ref="H488:I488" si="285">SUM(H489)</f>
        <v>35</v>
      </c>
      <c r="I488" s="14">
        <f t="shared" si="285"/>
        <v>35</v>
      </c>
    </row>
    <row r="489" spans="1:9" ht="54.75" customHeight="1" x14ac:dyDescent="0.25">
      <c r="A489" s="18">
        <f t="shared" si="273"/>
        <v>478</v>
      </c>
      <c r="B489" s="16" t="s">
        <v>33</v>
      </c>
      <c r="C489" s="17" t="s">
        <v>14</v>
      </c>
      <c r="D489" s="17" t="s">
        <v>431</v>
      </c>
      <c r="E489" s="17" t="s">
        <v>439</v>
      </c>
      <c r="F489" s="17" t="s">
        <v>34</v>
      </c>
      <c r="G489" s="14">
        <v>35</v>
      </c>
      <c r="H489" s="14">
        <v>35</v>
      </c>
      <c r="I489" s="14">
        <v>35</v>
      </c>
    </row>
    <row r="490" spans="1:9" ht="78" customHeight="1" x14ac:dyDescent="0.25">
      <c r="A490" s="18">
        <f t="shared" si="273"/>
        <v>479</v>
      </c>
      <c r="B490" s="16" t="s">
        <v>440</v>
      </c>
      <c r="C490" s="17" t="s">
        <v>14</v>
      </c>
      <c r="D490" s="17" t="s">
        <v>431</v>
      </c>
      <c r="E490" s="17" t="s">
        <v>441</v>
      </c>
      <c r="F490" s="17"/>
      <c r="G490" s="14">
        <f>SUM(G491+G508)</f>
        <v>12256.14</v>
      </c>
      <c r="H490" s="14">
        <f t="shared" ref="H490:I490" si="286">SUM(H491+H508)</f>
        <v>10446.32</v>
      </c>
      <c r="I490" s="14">
        <f t="shared" si="286"/>
        <v>9973.68</v>
      </c>
    </row>
    <row r="491" spans="1:9" ht="36" x14ac:dyDescent="0.25">
      <c r="A491" s="18">
        <f t="shared" si="273"/>
        <v>480</v>
      </c>
      <c r="B491" s="16" t="s">
        <v>442</v>
      </c>
      <c r="C491" s="17" t="s">
        <v>14</v>
      </c>
      <c r="D491" s="17" t="s">
        <v>431</v>
      </c>
      <c r="E491" s="17" t="s">
        <v>443</v>
      </c>
      <c r="F491" s="17"/>
      <c r="G491" s="14">
        <f>SUM(G492+G496+G494++G500+G502+G504+G506)</f>
        <v>10865.2</v>
      </c>
      <c r="H491" s="14">
        <f t="shared" ref="H491:I491" si="287">SUM(H492+H496+H494++H500+H502+H504+H506)</f>
        <v>9092.6299999999992</v>
      </c>
      <c r="I491" s="14">
        <f t="shared" si="287"/>
        <v>8583.15</v>
      </c>
    </row>
    <row r="492" spans="1:9" ht="54" x14ac:dyDescent="0.25">
      <c r="A492" s="18">
        <f t="shared" si="273"/>
        <v>481</v>
      </c>
      <c r="B492" s="16" t="s">
        <v>444</v>
      </c>
      <c r="C492" s="17" t="s">
        <v>14</v>
      </c>
      <c r="D492" s="17" t="s">
        <v>431</v>
      </c>
      <c r="E492" s="17" t="s">
        <v>445</v>
      </c>
      <c r="F492" s="17"/>
      <c r="G492" s="14">
        <f>SUM(G493)</f>
        <v>381.3</v>
      </c>
      <c r="H492" s="14">
        <f t="shared" ref="H492:I492" si="288">SUM(H493)</f>
        <v>381.3</v>
      </c>
      <c r="I492" s="14">
        <f t="shared" si="288"/>
        <v>381.3</v>
      </c>
    </row>
    <row r="493" spans="1:9" ht="57.75" customHeight="1" x14ac:dyDescent="0.25">
      <c r="A493" s="18">
        <f t="shared" si="273"/>
        <v>482</v>
      </c>
      <c r="B493" s="16" t="s">
        <v>33</v>
      </c>
      <c r="C493" s="17" t="s">
        <v>14</v>
      </c>
      <c r="D493" s="17" t="s">
        <v>431</v>
      </c>
      <c r="E493" s="17" t="s">
        <v>445</v>
      </c>
      <c r="F493" s="17" t="s">
        <v>34</v>
      </c>
      <c r="G493" s="14">
        <v>381.3</v>
      </c>
      <c r="H493" s="14">
        <v>381.3</v>
      </c>
      <c r="I493" s="14">
        <v>381.3</v>
      </c>
    </row>
    <row r="494" spans="1:9" ht="54" x14ac:dyDescent="0.25">
      <c r="A494" s="18">
        <f t="shared" si="273"/>
        <v>483</v>
      </c>
      <c r="B494" s="16" t="s">
        <v>446</v>
      </c>
      <c r="C494" s="17" t="s">
        <v>14</v>
      </c>
      <c r="D494" s="17" t="s">
        <v>431</v>
      </c>
      <c r="E494" s="17" t="s">
        <v>447</v>
      </c>
      <c r="F494" s="17"/>
      <c r="G494" s="14">
        <f>SUM(G495)</f>
        <v>309.27999999999997</v>
      </c>
      <c r="H494" s="14">
        <f t="shared" ref="H494:I494" si="289">SUM(H495)</f>
        <v>100</v>
      </c>
      <c r="I494" s="14">
        <f t="shared" si="289"/>
        <v>500</v>
      </c>
    </row>
    <row r="495" spans="1:9" ht="55.5" customHeight="1" x14ac:dyDescent="0.25">
      <c r="A495" s="18">
        <f t="shared" si="273"/>
        <v>484</v>
      </c>
      <c r="B495" s="16" t="s">
        <v>33</v>
      </c>
      <c r="C495" s="17" t="s">
        <v>14</v>
      </c>
      <c r="D495" s="17" t="s">
        <v>431</v>
      </c>
      <c r="E495" s="17" t="s">
        <v>447</v>
      </c>
      <c r="F495" s="17" t="s">
        <v>34</v>
      </c>
      <c r="G495" s="14">
        <f>500-190.72</f>
        <v>309.27999999999997</v>
      </c>
      <c r="H495" s="14">
        <f>500-400</f>
        <v>100</v>
      </c>
      <c r="I495" s="14">
        <v>500</v>
      </c>
    </row>
    <row r="496" spans="1:9" ht="54" x14ac:dyDescent="0.25">
      <c r="A496" s="18">
        <f t="shared" si="273"/>
        <v>485</v>
      </c>
      <c r="B496" s="16" t="s">
        <v>448</v>
      </c>
      <c r="C496" s="17" t="s">
        <v>14</v>
      </c>
      <c r="D496" s="17" t="s">
        <v>431</v>
      </c>
      <c r="E496" s="17" t="s">
        <v>449</v>
      </c>
      <c r="F496" s="17"/>
      <c r="G496" s="14">
        <f>SUM(G497:G499)</f>
        <v>7424.92</v>
      </c>
      <c r="H496" s="14">
        <f t="shared" ref="H496:I496" si="290">SUM(H497:H499)</f>
        <v>7461.329999999999</v>
      </c>
      <c r="I496" s="14">
        <f t="shared" si="290"/>
        <v>7701.8499999999995</v>
      </c>
    </row>
    <row r="497" spans="1:9" ht="36" x14ac:dyDescent="0.25">
      <c r="A497" s="18">
        <f t="shared" si="273"/>
        <v>486</v>
      </c>
      <c r="B497" s="16" t="s">
        <v>106</v>
      </c>
      <c r="C497" s="17" t="s">
        <v>14</v>
      </c>
      <c r="D497" s="17" t="s">
        <v>431</v>
      </c>
      <c r="E497" s="17" t="s">
        <v>449</v>
      </c>
      <c r="F497" s="17" t="s">
        <v>107</v>
      </c>
      <c r="G497" s="14">
        <v>5755.56</v>
      </c>
      <c r="H497" s="14">
        <v>6009.98</v>
      </c>
      <c r="I497" s="14">
        <v>6250.5</v>
      </c>
    </row>
    <row r="498" spans="1:9" ht="58.5" customHeight="1" x14ac:dyDescent="0.25">
      <c r="A498" s="18">
        <f t="shared" si="273"/>
        <v>487</v>
      </c>
      <c r="B498" s="16" t="s">
        <v>33</v>
      </c>
      <c r="C498" s="17" t="s">
        <v>14</v>
      </c>
      <c r="D498" s="17" t="s">
        <v>431</v>
      </c>
      <c r="E498" s="17" t="s">
        <v>449</v>
      </c>
      <c r="F498" s="17" t="s">
        <v>34</v>
      </c>
      <c r="G498" s="14">
        <v>1392.28</v>
      </c>
      <c r="H498" s="14">
        <v>1364.99</v>
      </c>
      <c r="I498" s="14">
        <v>1364.99</v>
      </c>
    </row>
    <row r="499" spans="1:9" ht="36" x14ac:dyDescent="0.25">
      <c r="A499" s="18">
        <f t="shared" si="273"/>
        <v>488</v>
      </c>
      <c r="B499" s="16" t="s">
        <v>37</v>
      </c>
      <c r="C499" s="17" t="s">
        <v>14</v>
      </c>
      <c r="D499" s="17" t="s">
        <v>431</v>
      </c>
      <c r="E499" s="17" t="s">
        <v>449</v>
      </c>
      <c r="F499" s="17" t="s">
        <v>38</v>
      </c>
      <c r="G499" s="14">
        <f>86.36+190.72</f>
        <v>277.08</v>
      </c>
      <c r="H499" s="14">
        <v>86.36</v>
      </c>
      <c r="I499" s="14">
        <v>86.36</v>
      </c>
    </row>
    <row r="500" spans="1:9" ht="111.75" customHeight="1" x14ac:dyDescent="0.25">
      <c r="A500" s="18">
        <f t="shared" si="273"/>
        <v>489</v>
      </c>
      <c r="B500" s="16" t="s">
        <v>767</v>
      </c>
      <c r="C500" s="17" t="s">
        <v>14</v>
      </c>
      <c r="D500" s="17" t="s">
        <v>431</v>
      </c>
      <c r="E500" s="17" t="s">
        <v>768</v>
      </c>
      <c r="F500" s="17"/>
      <c r="G500" s="14">
        <f>SUM(G501)</f>
        <v>1150</v>
      </c>
      <c r="H500" s="14">
        <f t="shared" ref="H500:I500" si="291">SUM(H501)</f>
        <v>1150</v>
      </c>
      <c r="I500" s="14">
        <f t="shared" si="291"/>
        <v>0</v>
      </c>
    </row>
    <row r="501" spans="1:9" ht="59.25" customHeight="1" x14ac:dyDescent="0.25">
      <c r="A501" s="18">
        <f t="shared" si="273"/>
        <v>490</v>
      </c>
      <c r="B501" s="16" t="s">
        <v>33</v>
      </c>
      <c r="C501" s="17" t="s">
        <v>14</v>
      </c>
      <c r="D501" s="17" t="s">
        <v>431</v>
      </c>
      <c r="E501" s="17" t="s">
        <v>768</v>
      </c>
      <c r="F501" s="17" t="s">
        <v>34</v>
      </c>
      <c r="G501" s="14">
        <v>1150</v>
      </c>
      <c r="H501" s="14">
        <v>1150</v>
      </c>
      <c r="I501" s="14">
        <v>0</v>
      </c>
    </row>
    <row r="502" spans="1:9" ht="93.75" customHeight="1" x14ac:dyDescent="0.25">
      <c r="A502" s="18">
        <f t="shared" si="273"/>
        <v>491</v>
      </c>
      <c r="B502" s="16" t="s">
        <v>450</v>
      </c>
      <c r="C502" s="17" t="s">
        <v>14</v>
      </c>
      <c r="D502" s="17" t="s">
        <v>431</v>
      </c>
      <c r="E502" s="17" t="s">
        <v>451</v>
      </c>
      <c r="F502" s="17"/>
      <c r="G502" s="14">
        <f>SUM(G503)</f>
        <v>1409.5</v>
      </c>
      <c r="H502" s="14">
        <f t="shared" ref="H502:I502" si="292">SUM(H503)</f>
        <v>0</v>
      </c>
      <c r="I502" s="14">
        <f t="shared" si="292"/>
        <v>0</v>
      </c>
    </row>
    <row r="503" spans="1:9" ht="36" x14ac:dyDescent="0.25">
      <c r="A503" s="18">
        <f t="shared" si="273"/>
        <v>492</v>
      </c>
      <c r="B503" s="16" t="s">
        <v>157</v>
      </c>
      <c r="C503" s="17" t="s">
        <v>14</v>
      </c>
      <c r="D503" s="17" t="s">
        <v>431</v>
      </c>
      <c r="E503" s="17" t="s">
        <v>451</v>
      </c>
      <c r="F503" s="17" t="s">
        <v>158</v>
      </c>
      <c r="G503" s="14">
        <f>1295.5+114</f>
        <v>1409.5</v>
      </c>
      <c r="H503" s="14">
        <v>0</v>
      </c>
      <c r="I503" s="14">
        <v>0</v>
      </c>
    </row>
    <row r="504" spans="1:9" ht="54" x14ac:dyDescent="0.25">
      <c r="A504" s="18">
        <f t="shared" si="273"/>
        <v>493</v>
      </c>
      <c r="B504" s="16" t="s">
        <v>452</v>
      </c>
      <c r="C504" s="17" t="s">
        <v>14</v>
      </c>
      <c r="D504" s="17" t="s">
        <v>431</v>
      </c>
      <c r="E504" s="17" t="s">
        <v>453</v>
      </c>
      <c r="F504" s="17"/>
      <c r="G504" s="14">
        <f>SUM(G505)</f>
        <v>95.1</v>
      </c>
      <c r="H504" s="14">
        <f t="shared" ref="H504:I504" si="293">SUM(H505)</f>
        <v>0</v>
      </c>
      <c r="I504" s="14">
        <f t="shared" si="293"/>
        <v>0</v>
      </c>
    </row>
    <row r="505" spans="1:9" ht="57.75" customHeight="1" x14ac:dyDescent="0.25">
      <c r="A505" s="18">
        <f t="shared" si="273"/>
        <v>494</v>
      </c>
      <c r="B505" s="16" t="s">
        <v>33</v>
      </c>
      <c r="C505" s="17" t="s">
        <v>14</v>
      </c>
      <c r="D505" s="17" t="s">
        <v>431</v>
      </c>
      <c r="E505" s="17" t="s">
        <v>453</v>
      </c>
      <c r="F505" s="17" t="s">
        <v>34</v>
      </c>
      <c r="G505" s="14">
        <v>95.1</v>
      </c>
      <c r="H505" s="14">
        <v>0</v>
      </c>
      <c r="I505" s="14">
        <v>0</v>
      </c>
    </row>
    <row r="506" spans="1:9" ht="54" x14ac:dyDescent="0.25">
      <c r="A506" s="18">
        <f t="shared" si="273"/>
        <v>495</v>
      </c>
      <c r="B506" s="16" t="s">
        <v>452</v>
      </c>
      <c r="C506" s="17" t="s">
        <v>14</v>
      </c>
      <c r="D506" s="17" t="s">
        <v>431</v>
      </c>
      <c r="E506" s="17" t="s">
        <v>454</v>
      </c>
      <c r="F506" s="17"/>
      <c r="G506" s="14">
        <f>SUM(G507)</f>
        <v>95.1</v>
      </c>
      <c r="H506" s="14">
        <f t="shared" ref="H506:I506" si="294">SUM(H507)</f>
        <v>0</v>
      </c>
      <c r="I506" s="14">
        <f t="shared" si="294"/>
        <v>0</v>
      </c>
    </row>
    <row r="507" spans="1:9" ht="54" customHeight="1" x14ac:dyDescent="0.25">
      <c r="A507" s="18">
        <f t="shared" si="273"/>
        <v>496</v>
      </c>
      <c r="B507" s="16" t="s">
        <v>33</v>
      </c>
      <c r="C507" s="17" t="s">
        <v>14</v>
      </c>
      <c r="D507" s="17" t="s">
        <v>431</v>
      </c>
      <c r="E507" s="17" t="s">
        <v>454</v>
      </c>
      <c r="F507" s="17" t="s">
        <v>34</v>
      </c>
      <c r="G507" s="14">
        <v>95.1</v>
      </c>
      <c r="H507" s="14">
        <v>0</v>
      </c>
      <c r="I507" s="14">
        <v>0</v>
      </c>
    </row>
    <row r="508" spans="1:9" ht="75.75" customHeight="1" x14ac:dyDescent="0.25">
      <c r="A508" s="18">
        <f t="shared" si="273"/>
        <v>497</v>
      </c>
      <c r="B508" s="16" t="s">
        <v>455</v>
      </c>
      <c r="C508" s="17" t="s">
        <v>14</v>
      </c>
      <c r="D508" s="17" t="s">
        <v>431</v>
      </c>
      <c r="E508" s="17" t="s">
        <v>456</v>
      </c>
      <c r="F508" s="17"/>
      <c r="G508" s="14">
        <f>SUM(G509+G511+G514+G516)</f>
        <v>1390.9399999999996</v>
      </c>
      <c r="H508" s="14">
        <f t="shared" ref="H508:I508" si="295">SUM(H509+H511+H514+H516)</f>
        <v>1353.69</v>
      </c>
      <c r="I508" s="14">
        <f t="shared" si="295"/>
        <v>1390.5299999999997</v>
      </c>
    </row>
    <row r="509" spans="1:9" ht="38.25" customHeight="1" x14ac:dyDescent="0.25">
      <c r="A509" s="18">
        <f t="shared" si="273"/>
        <v>498</v>
      </c>
      <c r="B509" s="16" t="s">
        <v>457</v>
      </c>
      <c r="C509" s="17" t="s">
        <v>14</v>
      </c>
      <c r="D509" s="17" t="s">
        <v>431</v>
      </c>
      <c r="E509" s="17" t="s">
        <v>458</v>
      </c>
      <c r="F509" s="17"/>
      <c r="G509" s="14">
        <f>SUM(G510)</f>
        <v>262.60000000000002</v>
      </c>
      <c r="H509" s="14">
        <f t="shared" ref="H509:I509" si="296">SUM(H510)</f>
        <v>262.60000000000002</v>
      </c>
      <c r="I509" s="14">
        <f t="shared" si="296"/>
        <v>262.60000000000002</v>
      </c>
    </row>
    <row r="510" spans="1:9" ht="56.25" customHeight="1" x14ac:dyDescent="0.25">
      <c r="A510" s="18">
        <f t="shared" si="273"/>
        <v>499</v>
      </c>
      <c r="B510" s="16" t="s">
        <v>33</v>
      </c>
      <c r="C510" s="17" t="s">
        <v>14</v>
      </c>
      <c r="D510" s="17" t="s">
        <v>431</v>
      </c>
      <c r="E510" s="17" t="s">
        <v>458</v>
      </c>
      <c r="F510" s="17" t="s">
        <v>34</v>
      </c>
      <c r="G510" s="14">
        <v>262.60000000000002</v>
      </c>
      <c r="H510" s="14">
        <v>262.60000000000002</v>
      </c>
      <c r="I510" s="14">
        <v>262.60000000000002</v>
      </c>
    </row>
    <row r="511" spans="1:9" ht="36" x14ac:dyDescent="0.25">
      <c r="A511" s="18">
        <f t="shared" si="273"/>
        <v>500</v>
      </c>
      <c r="B511" s="16" t="s">
        <v>459</v>
      </c>
      <c r="C511" s="17" t="s">
        <v>14</v>
      </c>
      <c r="D511" s="17" t="s">
        <v>431</v>
      </c>
      <c r="E511" s="17" t="s">
        <v>460</v>
      </c>
      <c r="F511" s="17"/>
      <c r="G511" s="14">
        <f>SUM(G512:G513)</f>
        <v>1055.1399999999999</v>
      </c>
      <c r="H511" s="14">
        <f t="shared" ref="H511:I511" si="297">SUM(H512:H513)</f>
        <v>1091.0900000000001</v>
      </c>
      <c r="I511" s="14">
        <f t="shared" si="297"/>
        <v>1127.9299999999998</v>
      </c>
    </row>
    <row r="512" spans="1:9" ht="36" x14ac:dyDescent="0.25">
      <c r="A512" s="18">
        <f t="shared" si="273"/>
        <v>501</v>
      </c>
      <c r="B512" s="16" t="s">
        <v>106</v>
      </c>
      <c r="C512" s="17" t="s">
        <v>14</v>
      </c>
      <c r="D512" s="17" t="s">
        <v>431</v>
      </c>
      <c r="E512" s="17" t="s">
        <v>460</v>
      </c>
      <c r="F512" s="17" t="s">
        <v>107</v>
      </c>
      <c r="G512" s="14">
        <v>884.14</v>
      </c>
      <c r="H512" s="14">
        <v>920.09</v>
      </c>
      <c r="I512" s="14">
        <v>956.93</v>
      </c>
    </row>
    <row r="513" spans="1:9" ht="59.25" customHeight="1" x14ac:dyDescent="0.25">
      <c r="A513" s="18">
        <f t="shared" si="273"/>
        <v>502</v>
      </c>
      <c r="B513" s="16" t="s">
        <v>33</v>
      </c>
      <c r="C513" s="17" t="s">
        <v>14</v>
      </c>
      <c r="D513" s="17" t="s">
        <v>431</v>
      </c>
      <c r="E513" s="17" t="s">
        <v>460</v>
      </c>
      <c r="F513" s="17" t="s">
        <v>34</v>
      </c>
      <c r="G513" s="14">
        <v>171</v>
      </c>
      <c r="H513" s="14">
        <v>171</v>
      </c>
      <c r="I513" s="14">
        <v>171</v>
      </c>
    </row>
    <row r="514" spans="1:9" ht="72" x14ac:dyDescent="0.25">
      <c r="A514" s="18">
        <f t="shared" si="273"/>
        <v>503</v>
      </c>
      <c r="B514" s="16" t="s">
        <v>461</v>
      </c>
      <c r="C514" s="17" t="s">
        <v>14</v>
      </c>
      <c r="D514" s="17" t="s">
        <v>431</v>
      </c>
      <c r="E514" s="17" t="s">
        <v>462</v>
      </c>
      <c r="F514" s="17"/>
      <c r="G514" s="14">
        <f>SUM(G515)</f>
        <v>36.6</v>
      </c>
      <c r="H514" s="14">
        <f t="shared" ref="H514:I514" si="298">SUM(H515)</f>
        <v>0</v>
      </c>
      <c r="I514" s="14">
        <f t="shared" si="298"/>
        <v>0</v>
      </c>
    </row>
    <row r="515" spans="1:9" ht="58.5" customHeight="1" x14ac:dyDescent="0.25">
      <c r="A515" s="18">
        <f t="shared" si="273"/>
        <v>504</v>
      </c>
      <c r="B515" s="16" t="s">
        <v>33</v>
      </c>
      <c r="C515" s="17" t="s">
        <v>14</v>
      </c>
      <c r="D515" s="17" t="s">
        <v>431</v>
      </c>
      <c r="E515" s="17" t="s">
        <v>462</v>
      </c>
      <c r="F515" s="17" t="s">
        <v>34</v>
      </c>
      <c r="G515" s="14">
        <v>36.6</v>
      </c>
      <c r="H515" s="14">
        <v>0</v>
      </c>
      <c r="I515" s="14">
        <v>0</v>
      </c>
    </row>
    <row r="516" spans="1:9" ht="54" x14ac:dyDescent="0.25">
      <c r="A516" s="18">
        <f t="shared" si="273"/>
        <v>505</v>
      </c>
      <c r="B516" s="16" t="s">
        <v>463</v>
      </c>
      <c r="C516" s="17" t="s">
        <v>14</v>
      </c>
      <c r="D516" s="17" t="s">
        <v>431</v>
      </c>
      <c r="E516" s="17" t="s">
        <v>464</v>
      </c>
      <c r="F516" s="17"/>
      <c r="G516" s="14">
        <f>SUM(G517)</f>
        <v>36.6</v>
      </c>
      <c r="H516" s="14">
        <f t="shared" ref="H516:I516" si="299">SUM(H517)</f>
        <v>0</v>
      </c>
      <c r="I516" s="14">
        <f t="shared" si="299"/>
        <v>0</v>
      </c>
    </row>
    <row r="517" spans="1:9" ht="57.75" customHeight="1" x14ac:dyDescent="0.25">
      <c r="A517" s="18">
        <f t="shared" si="273"/>
        <v>506</v>
      </c>
      <c r="B517" s="16" t="s">
        <v>33</v>
      </c>
      <c r="C517" s="17" t="s">
        <v>14</v>
      </c>
      <c r="D517" s="17" t="s">
        <v>431</v>
      </c>
      <c r="E517" s="17" t="s">
        <v>464</v>
      </c>
      <c r="F517" s="17" t="s">
        <v>34</v>
      </c>
      <c r="G517" s="14">
        <v>36.6</v>
      </c>
      <c r="H517" s="14">
        <v>0</v>
      </c>
      <c r="I517" s="14">
        <v>0</v>
      </c>
    </row>
    <row r="518" spans="1:9" ht="93.75" customHeight="1" x14ac:dyDescent="0.25">
      <c r="A518" s="18">
        <f t="shared" si="273"/>
        <v>507</v>
      </c>
      <c r="B518" s="16" t="s">
        <v>147</v>
      </c>
      <c r="C518" s="17" t="s">
        <v>14</v>
      </c>
      <c r="D518" s="17" t="s">
        <v>431</v>
      </c>
      <c r="E518" s="17" t="s">
        <v>148</v>
      </c>
      <c r="F518" s="17"/>
      <c r="G518" s="14">
        <f>SUM(G519)</f>
        <v>90</v>
      </c>
      <c r="H518" s="14">
        <f t="shared" ref="H518:I518" si="300">SUM(H519)</f>
        <v>90</v>
      </c>
      <c r="I518" s="14">
        <f t="shared" si="300"/>
        <v>90</v>
      </c>
    </row>
    <row r="519" spans="1:9" ht="54" x14ac:dyDescent="0.25">
      <c r="A519" s="18">
        <f t="shared" si="273"/>
        <v>508</v>
      </c>
      <c r="B519" s="16" t="s">
        <v>465</v>
      </c>
      <c r="C519" s="17" t="s">
        <v>14</v>
      </c>
      <c r="D519" s="17" t="s">
        <v>431</v>
      </c>
      <c r="E519" s="17" t="s">
        <v>466</v>
      </c>
      <c r="F519" s="17"/>
      <c r="G519" s="14">
        <f>SUM(G520)</f>
        <v>90</v>
      </c>
      <c r="H519" s="14">
        <f t="shared" ref="H519:I519" si="301">SUM(H520)</f>
        <v>90</v>
      </c>
      <c r="I519" s="14">
        <f t="shared" si="301"/>
        <v>90</v>
      </c>
    </row>
    <row r="520" spans="1:9" ht="57.75" customHeight="1" x14ac:dyDescent="0.25">
      <c r="A520" s="18">
        <f t="shared" si="273"/>
        <v>509</v>
      </c>
      <c r="B520" s="16" t="s">
        <v>33</v>
      </c>
      <c r="C520" s="17" t="s">
        <v>14</v>
      </c>
      <c r="D520" s="17" t="s">
        <v>431</v>
      </c>
      <c r="E520" s="17" t="s">
        <v>466</v>
      </c>
      <c r="F520" s="17" t="s">
        <v>34</v>
      </c>
      <c r="G520" s="14">
        <v>90</v>
      </c>
      <c r="H520" s="14">
        <v>90</v>
      </c>
      <c r="I520" s="14">
        <v>90</v>
      </c>
    </row>
    <row r="521" spans="1:9" ht="24.75" customHeight="1" x14ac:dyDescent="0.25">
      <c r="A521" s="18">
        <f t="shared" si="273"/>
        <v>510</v>
      </c>
      <c r="B521" s="16" t="s">
        <v>811</v>
      </c>
      <c r="C521" s="17" t="s">
        <v>14</v>
      </c>
      <c r="D521" s="17" t="s">
        <v>431</v>
      </c>
      <c r="E521" s="27" t="s">
        <v>45</v>
      </c>
      <c r="F521" s="17"/>
      <c r="G521" s="14">
        <f>SUM(G522)</f>
        <v>176.98</v>
      </c>
      <c r="H521" s="14">
        <f t="shared" ref="H521:I521" si="302">SUM(H522)</f>
        <v>0</v>
      </c>
      <c r="I521" s="14">
        <f t="shared" si="302"/>
        <v>0</v>
      </c>
    </row>
    <row r="522" spans="1:9" ht="57.75" customHeight="1" x14ac:dyDescent="0.25">
      <c r="A522" s="18">
        <f t="shared" si="273"/>
        <v>511</v>
      </c>
      <c r="B522" s="16" t="s">
        <v>883</v>
      </c>
      <c r="C522" s="17" t="s">
        <v>14</v>
      </c>
      <c r="D522" s="17" t="s">
        <v>431</v>
      </c>
      <c r="E522" s="27" t="s">
        <v>882</v>
      </c>
      <c r="F522" s="17"/>
      <c r="G522" s="14">
        <f>SUM(G523)</f>
        <v>176.98</v>
      </c>
      <c r="H522" s="14">
        <f t="shared" ref="H522:I522" si="303">SUM(H523)</f>
        <v>0</v>
      </c>
      <c r="I522" s="14">
        <f t="shared" si="303"/>
        <v>0</v>
      </c>
    </row>
    <row r="523" spans="1:9" ht="36" customHeight="1" x14ac:dyDescent="0.25">
      <c r="A523" s="18">
        <f t="shared" si="273"/>
        <v>512</v>
      </c>
      <c r="B523" s="16" t="s">
        <v>106</v>
      </c>
      <c r="C523" s="17" t="s">
        <v>14</v>
      </c>
      <c r="D523" s="17" t="s">
        <v>431</v>
      </c>
      <c r="E523" s="27" t="s">
        <v>882</v>
      </c>
      <c r="F523" s="17">
        <v>110</v>
      </c>
      <c r="G523" s="14">
        <v>176.98</v>
      </c>
      <c r="H523" s="14">
        <v>0</v>
      </c>
      <c r="I523" s="14">
        <v>0</v>
      </c>
    </row>
    <row r="524" spans="1:9" s="26" customFormat="1" ht="36" customHeight="1" x14ac:dyDescent="0.25">
      <c r="A524" s="19">
        <f t="shared" si="273"/>
        <v>513</v>
      </c>
      <c r="B524" s="20" t="s">
        <v>644</v>
      </c>
      <c r="C524" s="21" t="s">
        <v>14</v>
      </c>
      <c r="D524" s="28" t="s">
        <v>645</v>
      </c>
      <c r="E524" s="21"/>
      <c r="F524" s="21"/>
      <c r="G524" s="13">
        <f>SUM(G525)</f>
        <v>583.97</v>
      </c>
      <c r="H524" s="13">
        <f t="shared" ref="H524:I524" si="304">SUM(H525)</f>
        <v>0</v>
      </c>
      <c r="I524" s="13">
        <f t="shared" si="304"/>
        <v>0</v>
      </c>
    </row>
    <row r="525" spans="1:9" ht="73.5" customHeight="1" x14ac:dyDescent="0.25">
      <c r="A525" s="18">
        <f t="shared" si="273"/>
        <v>514</v>
      </c>
      <c r="B525" s="16" t="s">
        <v>818</v>
      </c>
      <c r="C525" s="17" t="s">
        <v>14</v>
      </c>
      <c r="D525" s="27" t="s">
        <v>645</v>
      </c>
      <c r="E525" s="27" t="s">
        <v>590</v>
      </c>
      <c r="F525" s="17"/>
      <c r="G525" s="14">
        <f>SUM(G526)</f>
        <v>583.97</v>
      </c>
      <c r="H525" s="14">
        <f t="shared" ref="H525:I525" si="305">SUM(H526)</f>
        <v>0</v>
      </c>
      <c r="I525" s="14">
        <f t="shared" si="305"/>
        <v>0</v>
      </c>
    </row>
    <row r="526" spans="1:9" ht="78.75" customHeight="1" x14ac:dyDescent="0.25">
      <c r="A526" s="18">
        <f t="shared" si="273"/>
        <v>515</v>
      </c>
      <c r="B526" s="16" t="s">
        <v>819</v>
      </c>
      <c r="C526" s="17" t="s">
        <v>14</v>
      </c>
      <c r="D526" s="27" t="s">
        <v>645</v>
      </c>
      <c r="E526" s="27" t="s">
        <v>633</v>
      </c>
      <c r="F526" s="17"/>
      <c r="G526" s="14">
        <f>SUM(G527+G530)</f>
        <v>583.97</v>
      </c>
      <c r="H526" s="14">
        <f t="shared" ref="H526:I526" si="306">SUM(H527+H530)</f>
        <v>0</v>
      </c>
      <c r="I526" s="14">
        <f t="shared" si="306"/>
        <v>0</v>
      </c>
    </row>
    <row r="527" spans="1:9" ht="36" customHeight="1" x14ac:dyDescent="0.25">
      <c r="A527" s="18">
        <f t="shared" si="273"/>
        <v>516</v>
      </c>
      <c r="B527" s="16" t="s">
        <v>816</v>
      </c>
      <c r="C527" s="17" t="s">
        <v>14</v>
      </c>
      <c r="D527" s="27" t="s">
        <v>645</v>
      </c>
      <c r="E527" s="27" t="s">
        <v>649</v>
      </c>
      <c r="F527" s="17"/>
      <c r="G527" s="14">
        <f>SUM(G528:G529)</f>
        <v>315.98</v>
      </c>
      <c r="H527" s="14">
        <f t="shared" ref="H527:I527" si="307">SUM(H528:H529)</f>
        <v>0</v>
      </c>
      <c r="I527" s="14">
        <f t="shared" si="307"/>
        <v>0</v>
      </c>
    </row>
    <row r="528" spans="1:9" ht="34.5" customHeight="1" x14ac:dyDescent="0.25">
      <c r="A528" s="18">
        <f t="shared" si="273"/>
        <v>517</v>
      </c>
      <c r="B528" s="16" t="s">
        <v>157</v>
      </c>
      <c r="C528" s="17" t="s">
        <v>14</v>
      </c>
      <c r="D528" s="27" t="s">
        <v>645</v>
      </c>
      <c r="E528" s="27" t="s">
        <v>649</v>
      </c>
      <c r="F528" s="17">
        <v>610</v>
      </c>
      <c r="G528" s="14">
        <v>65.47</v>
      </c>
      <c r="H528" s="14">
        <v>0</v>
      </c>
      <c r="I528" s="14">
        <v>0</v>
      </c>
    </row>
    <row r="529" spans="1:9" ht="34.5" customHeight="1" x14ac:dyDescent="0.25">
      <c r="A529" s="18">
        <f t="shared" si="273"/>
        <v>518</v>
      </c>
      <c r="B529" s="16" t="s">
        <v>272</v>
      </c>
      <c r="C529" s="17" t="s">
        <v>14</v>
      </c>
      <c r="D529" s="27" t="s">
        <v>645</v>
      </c>
      <c r="E529" s="27" t="s">
        <v>649</v>
      </c>
      <c r="F529" s="17">
        <v>620</v>
      </c>
      <c r="G529" s="14">
        <v>250.51</v>
      </c>
      <c r="H529" s="14">
        <v>0</v>
      </c>
      <c r="I529" s="14">
        <v>0</v>
      </c>
    </row>
    <row r="530" spans="1:9" ht="57.75" customHeight="1" x14ac:dyDescent="0.25">
      <c r="A530" s="18">
        <f t="shared" si="273"/>
        <v>519</v>
      </c>
      <c r="B530" s="16" t="s">
        <v>817</v>
      </c>
      <c r="C530" s="17" t="s">
        <v>14</v>
      </c>
      <c r="D530" s="27" t="s">
        <v>645</v>
      </c>
      <c r="E530" s="27" t="s">
        <v>651</v>
      </c>
      <c r="F530" s="17"/>
      <c r="G530" s="14">
        <f>SUM(G531:G532)</f>
        <v>267.99</v>
      </c>
      <c r="H530" s="14">
        <f t="shared" ref="H530:I530" si="308">SUM(H531:H532)</f>
        <v>0</v>
      </c>
      <c r="I530" s="14">
        <f t="shared" si="308"/>
        <v>0</v>
      </c>
    </row>
    <row r="531" spans="1:9" ht="38.25" customHeight="1" x14ac:dyDescent="0.25">
      <c r="A531" s="18">
        <f t="shared" si="273"/>
        <v>520</v>
      </c>
      <c r="B531" s="16" t="s">
        <v>157</v>
      </c>
      <c r="C531" s="17" t="s">
        <v>14</v>
      </c>
      <c r="D531" s="27" t="s">
        <v>645</v>
      </c>
      <c r="E531" s="27" t="s">
        <v>651</v>
      </c>
      <c r="F531" s="17">
        <v>610</v>
      </c>
      <c r="G531" s="14">
        <v>64.680000000000007</v>
      </c>
      <c r="H531" s="14">
        <v>0</v>
      </c>
      <c r="I531" s="14">
        <v>0</v>
      </c>
    </row>
    <row r="532" spans="1:9" ht="36" customHeight="1" x14ac:dyDescent="0.25">
      <c r="A532" s="18">
        <f t="shared" si="273"/>
        <v>521</v>
      </c>
      <c r="B532" s="16" t="s">
        <v>272</v>
      </c>
      <c r="C532" s="17" t="s">
        <v>14</v>
      </c>
      <c r="D532" s="27" t="s">
        <v>645</v>
      </c>
      <c r="E532" s="27" t="s">
        <v>651</v>
      </c>
      <c r="F532" s="17">
        <v>620</v>
      </c>
      <c r="G532" s="14">
        <v>203.31</v>
      </c>
      <c r="H532" s="14">
        <v>0</v>
      </c>
      <c r="I532" s="14">
        <v>0</v>
      </c>
    </row>
    <row r="533" spans="1:9" ht="21.75" customHeight="1" x14ac:dyDescent="0.25">
      <c r="A533" s="19">
        <f t="shared" si="273"/>
        <v>522</v>
      </c>
      <c r="B533" s="20" t="s">
        <v>467</v>
      </c>
      <c r="C533" s="21" t="s">
        <v>14</v>
      </c>
      <c r="D533" s="21" t="s">
        <v>468</v>
      </c>
      <c r="E533" s="21"/>
      <c r="F533" s="21"/>
      <c r="G533" s="13">
        <f>SUM(G534)</f>
        <v>0</v>
      </c>
      <c r="H533" s="13">
        <f t="shared" ref="H533:I533" si="309">SUM(H534)</f>
        <v>2100</v>
      </c>
      <c r="I533" s="13">
        <f t="shared" si="309"/>
        <v>1600</v>
      </c>
    </row>
    <row r="534" spans="1:9" ht="18" x14ac:dyDescent="0.25">
      <c r="A534" s="19">
        <f t="shared" si="273"/>
        <v>523</v>
      </c>
      <c r="B534" s="20" t="s">
        <v>469</v>
      </c>
      <c r="C534" s="21" t="s">
        <v>14</v>
      </c>
      <c r="D534" s="21" t="s">
        <v>470</v>
      </c>
      <c r="E534" s="21"/>
      <c r="F534" s="21"/>
      <c r="G534" s="13">
        <f>SUM(G535)</f>
        <v>0</v>
      </c>
      <c r="H534" s="13">
        <f t="shared" ref="H534:I534" si="310">SUM(H535)</f>
        <v>2100</v>
      </c>
      <c r="I534" s="13">
        <f t="shared" si="310"/>
        <v>1600</v>
      </c>
    </row>
    <row r="535" spans="1:9" ht="133.5" customHeight="1" x14ac:dyDescent="0.25">
      <c r="A535" s="18">
        <f t="shared" si="273"/>
        <v>524</v>
      </c>
      <c r="B535" s="16" t="s">
        <v>64</v>
      </c>
      <c r="C535" s="17" t="s">
        <v>14</v>
      </c>
      <c r="D535" s="17" t="s">
        <v>470</v>
      </c>
      <c r="E535" s="17" t="s">
        <v>65</v>
      </c>
      <c r="F535" s="17"/>
      <c r="G535" s="14">
        <f>SUM(G536)</f>
        <v>0</v>
      </c>
      <c r="H535" s="14">
        <f t="shared" ref="H535:I535" si="311">SUM(H536)</f>
        <v>2100</v>
      </c>
      <c r="I535" s="14">
        <f t="shared" si="311"/>
        <v>1600</v>
      </c>
    </row>
    <row r="536" spans="1:9" ht="165.75" customHeight="1" x14ac:dyDescent="0.25">
      <c r="A536" s="18">
        <f t="shared" si="273"/>
        <v>525</v>
      </c>
      <c r="B536" s="16" t="s">
        <v>66</v>
      </c>
      <c r="C536" s="17" t="s">
        <v>14</v>
      </c>
      <c r="D536" s="17" t="s">
        <v>470</v>
      </c>
      <c r="E536" s="17" t="s">
        <v>67</v>
      </c>
      <c r="F536" s="17"/>
      <c r="G536" s="14">
        <f>SUM(G537)</f>
        <v>0</v>
      </c>
      <c r="H536" s="14">
        <f t="shared" ref="H536:I536" si="312">SUM(H537)</f>
        <v>2100</v>
      </c>
      <c r="I536" s="14">
        <f t="shared" si="312"/>
        <v>1600</v>
      </c>
    </row>
    <row r="537" spans="1:9" ht="72" x14ac:dyDescent="0.25">
      <c r="A537" s="18">
        <f t="shared" si="273"/>
        <v>526</v>
      </c>
      <c r="B537" s="16" t="s">
        <v>471</v>
      </c>
      <c r="C537" s="17" t="s">
        <v>14</v>
      </c>
      <c r="D537" s="17" t="s">
        <v>470</v>
      </c>
      <c r="E537" s="17" t="s">
        <v>472</v>
      </c>
      <c r="F537" s="17"/>
      <c r="G537" s="14">
        <f>SUM(G538)</f>
        <v>0</v>
      </c>
      <c r="H537" s="14">
        <f t="shared" ref="H537:I537" si="313">SUM(H538)</f>
        <v>2100</v>
      </c>
      <c r="I537" s="14">
        <f t="shared" si="313"/>
        <v>1600</v>
      </c>
    </row>
    <row r="538" spans="1:9" ht="55.5" customHeight="1" x14ac:dyDescent="0.25">
      <c r="A538" s="18">
        <f t="shared" si="273"/>
        <v>527</v>
      </c>
      <c r="B538" s="16" t="s">
        <v>33</v>
      </c>
      <c r="C538" s="17" t="s">
        <v>14</v>
      </c>
      <c r="D538" s="17" t="s">
        <v>470</v>
      </c>
      <c r="E538" s="17" t="s">
        <v>472</v>
      </c>
      <c r="F538" s="17" t="s">
        <v>34</v>
      </c>
      <c r="G538" s="14">
        <f>1600-1600</f>
        <v>0</v>
      </c>
      <c r="H538" s="14">
        <f>1600+500</f>
        <v>2100</v>
      </c>
      <c r="I538" s="14">
        <v>1600</v>
      </c>
    </row>
    <row r="539" spans="1:9" ht="18" x14ac:dyDescent="0.25">
      <c r="A539" s="19">
        <f t="shared" si="273"/>
        <v>528</v>
      </c>
      <c r="B539" s="20" t="s">
        <v>473</v>
      </c>
      <c r="C539" s="21" t="s">
        <v>14</v>
      </c>
      <c r="D539" s="21" t="s">
        <v>474</v>
      </c>
      <c r="E539" s="21"/>
      <c r="F539" s="21"/>
      <c r="G539" s="13">
        <f>SUM(G540)</f>
        <v>350</v>
      </c>
      <c r="H539" s="13">
        <f t="shared" ref="H539:I539" si="314">SUM(H540)</f>
        <v>350</v>
      </c>
      <c r="I539" s="13">
        <f t="shared" si="314"/>
        <v>350</v>
      </c>
    </row>
    <row r="540" spans="1:9" ht="36" x14ac:dyDescent="0.25">
      <c r="A540" s="19">
        <f t="shared" ref="A540:A610" si="315">SUM(A539+1)</f>
        <v>529</v>
      </c>
      <c r="B540" s="20" t="s">
        <v>475</v>
      </c>
      <c r="C540" s="21" t="s">
        <v>14</v>
      </c>
      <c r="D540" s="21" t="s">
        <v>476</v>
      </c>
      <c r="E540" s="21"/>
      <c r="F540" s="21"/>
      <c r="G540" s="13">
        <f>SUM(G541)</f>
        <v>350</v>
      </c>
      <c r="H540" s="13">
        <f t="shared" ref="H540:I540" si="316">SUM(H541)</f>
        <v>350</v>
      </c>
      <c r="I540" s="13">
        <f t="shared" si="316"/>
        <v>350</v>
      </c>
    </row>
    <row r="541" spans="1:9" ht="72" x14ac:dyDescent="0.25">
      <c r="A541" s="18">
        <f t="shared" si="315"/>
        <v>530</v>
      </c>
      <c r="B541" s="16" t="s">
        <v>80</v>
      </c>
      <c r="C541" s="17" t="s">
        <v>14</v>
      </c>
      <c r="D541" s="17" t="s">
        <v>476</v>
      </c>
      <c r="E541" s="17" t="s">
        <v>81</v>
      </c>
      <c r="F541" s="17"/>
      <c r="G541" s="14">
        <f>SUM(G542)</f>
        <v>350</v>
      </c>
      <c r="H541" s="14">
        <f t="shared" ref="H541:I541" si="317">SUM(H542)</f>
        <v>350</v>
      </c>
      <c r="I541" s="14">
        <f t="shared" si="317"/>
        <v>350</v>
      </c>
    </row>
    <row r="542" spans="1:9" ht="54" x14ac:dyDescent="0.25">
      <c r="A542" s="18">
        <f t="shared" si="315"/>
        <v>531</v>
      </c>
      <c r="B542" s="16" t="s">
        <v>432</v>
      </c>
      <c r="C542" s="17" t="s">
        <v>14</v>
      </c>
      <c r="D542" s="17" t="s">
        <v>476</v>
      </c>
      <c r="E542" s="17" t="s">
        <v>433</v>
      </c>
      <c r="F542" s="17"/>
      <c r="G542" s="14">
        <f>SUM(G543+G545)</f>
        <v>350</v>
      </c>
      <c r="H542" s="14">
        <f t="shared" ref="H542:I542" si="318">SUM(H543+H545)</f>
        <v>350</v>
      </c>
      <c r="I542" s="14">
        <f t="shared" si="318"/>
        <v>350</v>
      </c>
    </row>
    <row r="543" spans="1:9" ht="18" x14ac:dyDescent="0.25">
      <c r="A543" s="18">
        <f t="shared" si="315"/>
        <v>532</v>
      </c>
      <c r="B543" s="16" t="s">
        <v>477</v>
      </c>
      <c r="C543" s="17" t="s">
        <v>14</v>
      </c>
      <c r="D543" s="17" t="s">
        <v>476</v>
      </c>
      <c r="E543" s="17" t="s">
        <v>478</v>
      </c>
      <c r="F543" s="17"/>
      <c r="G543" s="14">
        <f>SUM(G544)</f>
        <v>270</v>
      </c>
      <c r="H543" s="14">
        <f t="shared" ref="H543:I543" si="319">SUM(H544)</f>
        <v>270</v>
      </c>
      <c r="I543" s="14">
        <f t="shared" si="319"/>
        <v>270</v>
      </c>
    </row>
    <row r="544" spans="1:9" ht="56.25" customHeight="1" x14ac:dyDescent="0.25">
      <c r="A544" s="18">
        <f t="shared" si="315"/>
        <v>533</v>
      </c>
      <c r="B544" s="16" t="s">
        <v>33</v>
      </c>
      <c r="C544" s="17" t="s">
        <v>14</v>
      </c>
      <c r="D544" s="17" t="s">
        <v>476</v>
      </c>
      <c r="E544" s="17" t="s">
        <v>478</v>
      </c>
      <c r="F544" s="17" t="s">
        <v>34</v>
      </c>
      <c r="G544" s="14">
        <f>310.04-40.04</f>
        <v>270</v>
      </c>
      <c r="H544" s="14">
        <v>270</v>
      </c>
      <c r="I544" s="14">
        <v>270</v>
      </c>
    </row>
    <row r="545" spans="1:9" ht="75" customHeight="1" x14ac:dyDescent="0.25">
      <c r="A545" s="18">
        <f t="shared" si="315"/>
        <v>534</v>
      </c>
      <c r="B545" s="16" t="s">
        <v>479</v>
      </c>
      <c r="C545" s="17" t="s">
        <v>14</v>
      </c>
      <c r="D545" s="17" t="s">
        <v>476</v>
      </c>
      <c r="E545" s="17" t="s">
        <v>480</v>
      </c>
      <c r="F545" s="17"/>
      <c r="G545" s="14">
        <f>SUM(G546)</f>
        <v>80</v>
      </c>
      <c r="H545" s="14">
        <f t="shared" ref="H545:I545" si="320">SUM(H546)</f>
        <v>80</v>
      </c>
      <c r="I545" s="14">
        <f t="shared" si="320"/>
        <v>80</v>
      </c>
    </row>
    <row r="546" spans="1:9" ht="57" customHeight="1" x14ac:dyDescent="0.25">
      <c r="A546" s="18">
        <f t="shared" si="315"/>
        <v>535</v>
      </c>
      <c r="B546" s="16" t="s">
        <v>33</v>
      </c>
      <c r="C546" s="17" t="s">
        <v>14</v>
      </c>
      <c r="D546" s="17" t="s">
        <v>476</v>
      </c>
      <c r="E546" s="17" t="s">
        <v>480</v>
      </c>
      <c r="F546" s="17" t="s">
        <v>34</v>
      </c>
      <c r="G546" s="14">
        <v>80</v>
      </c>
      <c r="H546" s="14">
        <v>80</v>
      </c>
      <c r="I546" s="14">
        <v>80</v>
      </c>
    </row>
    <row r="547" spans="1:9" ht="18" x14ac:dyDescent="0.25">
      <c r="A547" s="19">
        <f t="shared" si="315"/>
        <v>536</v>
      </c>
      <c r="B547" s="20" t="s">
        <v>481</v>
      </c>
      <c r="C547" s="21" t="s">
        <v>14</v>
      </c>
      <c r="D547" s="21" t="s">
        <v>482</v>
      </c>
      <c r="E547" s="21"/>
      <c r="F547" s="21"/>
      <c r="G547" s="13">
        <f>SUM(G548+G554+G562+G592+G602)</f>
        <v>162870.29999999999</v>
      </c>
      <c r="H547" s="13">
        <f t="shared" ref="H547:I547" si="321">SUM(H548+H554+H562+H592+H602)</f>
        <v>155215.32999999999</v>
      </c>
      <c r="I547" s="13">
        <f t="shared" si="321"/>
        <v>159899.13</v>
      </c>
    </row>
    <row r="548" spans="1:9" ht="18" x14ac:dyDescent="0.25">
      <c r="A548" s="19">
        <f t="shared" si="315"/>
        <v>537</v>
      </c>
      <c r="B548" s="20" t="s">
        <v>483</v>
      </c>
      <c r="C548" s="21" t="s">
        <v>14</v>
      </c>
      <c r="D548" s="21" t="s">
        <v>484</v>
      </c>
      <c r="E548" s="21"/>
      <c r="F548" s="21"/>
      <c r="G548" s="13">
        <f>SUM(G549)</f>
        <v>12783.12</v>
      </c>
      <c r="H548" s="13">
        <f t="shared" ref="H548:I548" si="322">SUM(H549)</f>
        <v>13281.960000000001</v>
      </c>
      <c r="I548" s="13">
        <f t="shared" si="322"/>
        <v>14269.68</v>
      </c>
    </row>
    <row r="549" spans="1:9" ht="75.75" customHeight="1" x14ac:dyDescent="0.25">
      <c r="A549" s="18">
        <f t="shared" si="315"/>
        <v>538</v>
      </c>
      <c r="B549" s="16" t="s">
        <v>485</v>
      </c>
      <c r="C549" s="17" t="s">
        <v>14</v>
      </c>
      <c r="D549" s="17" t="s">
        <v>484</v>
      </c>
      <c r="E549" s="17" t="s">
        <v>486</v>
      </c>
      <c r="F549" s="17"/>
      <c r="G549" s="14">
        <f>SUM(G550)</f>
        <v>12783.12</v>
      </c>
      <c r="H549" s="14">
        <f t="shared" ref="H549:I549" si="323">SUM(H550)</f>
        <v>13281.960000000001</v>
      </c>
      <c r="I549" s="14">
        <f t="shared" si="323"/>
        <v>14269.68</v>
      </c>
    </row>
    <row r="550" spans="1:9" ht="73.5" customHeight="1" x14ac:dyDescent="0.25">
      <c r="A550" s="18">
        <f t="shared" si="315"/>
        <v>539</v>
      </c>
      <c r="B550" s="16" t="s">
        <v>487</v>
      </c>
      <c r="C550" s="17" t="s">
        <v>14</v>
      </c>
      <c r="D550" s="17" t="s">
        <v>484</v>
      </c>
      <c r="E550" s="17" t="s">
        <v>488</v>
      </c>
      <c r="F550" s="17"/>
      <c r="G550" s="14">
        <f>SUM(G551)</f>
        <v>12783.12</v>
      </c>
      <c r="H550" s="14">
        <f t="shared" ref="H550:I550" si="324">SUM(H551)</f>
        <v>13281.960000000001</v>
      </c>
      <c r="I550" s="14">
        <f t="shared" si="324"/>
        <v>14269.68</v>
      </c>
    </row>
    <row r="551" spans="1:9" ht="54" x14ac:dyDescent="0.25">
      <c r="A551" s="18">
        <f t="shared" si="315"/>
        <v>540</v>
      </c>
      <c r="B551" s="16" t="s">
        <v>489</v>
      </c>
      <c r="C551" s="17" t="s">
        <v>14</v>
      </c>
      <c r="D551" s="17" t="s">
        <v>484</v>
      </c>
      <c r="E551" s="17" t="s">
        <v>490</v>
      </c>
      <c r="F551" s="17"/>
      <c r="G551" s="14">
        <f>SUM(G552:G553)</f>
        <v>12783.12</v>
      </c>
      <c r="H551" s="14">
        <f t="shared" ref="H551:I551" si="325">SUM(H552:H553)</f>
        <v>13281.960000000001</v>
      </c>
      <c r="I551" s="14">
        <f t="shared" si="325"/>
        <v>14269.68</v>
      </c>
    </row>
    <row r="552" spans="1:9" ht="57.75" customHeight="1" x14ac:dyDescent="0.25">
      <c r="A552" s="18">
        <f t="shared" si="315"/>
        <v>541</v>
      </c>
      <c r="B552" s="16" t="s">
        <v>33</v>
      </c>
      <c r="C552" s="17" t="s">
        <v>14</v>
      </c>
      <c r="D552" s="17" t="s">
        <v>484</v>
      </c>
      <c r="E552" s="17" t="s">
        <v>490</v>
      </c>
      <c r="F552" s="17" t="s">
        <v>34</v>
      </c>
      <c r="G552" s="14">
        <v>24</v>
      </c>
      <c r="H552" s="14">
        <v>24</v>
      </c>
      <c r="I552" s="14">
        <v>24</v>
      </c>
    </row>
    <row r="553" spans="1:9" ht="54" x14ac:dyDescent="0.25">
      <c r="A553" s="18">
        <f t="shared" si="315"/>
        <v>542</v>
      </c>
      <c r="B553" s="16" t="s">
        <v>491</v>
      </c>
      <c r="C553" s="17" t="s">
        <v>14</v>
      </c>
      <c r="D553" s="17" t="s">
        <v>484</v>
      </c>
      <c r="E553" s="17" t="s">
        <v>490</v>
      </c>
      <c r="F553" s="17" t="s">
        <v>492</v>
      </c>
      <c r="G553" s="14">
        <f>12959.12-200</f>
        <v>12759.12</v>
      </c>
      <c r="H553" s="14">
        <f>13697.77-439.81</f>
        <v>13257.960000000001</v>
      </c>
      <c r="I553" s="14">
        <v>14245.68</v>
      </c>
    </row>
    <row r="554" spans="1:9" ht="36" x14ac:dyDescent="0.25">
      <c r="A554" s="19">
        <f t="shared" si="315"/>
        <v>543</v>
      </c>
      <c r="B554" s="20" t="s">
        <v>493</v>
      </c>
      <c r="C554" s="21" t="s">
        <v>14</v>
      </c>
      <c r="D554" s="21" t="s">
        <v>494</v>
      </c>
      <c r="E554" s="21"/>
      <c r="F554" s="21"/>
      <c r="G554" s="13">
        <f>SUM(G555+G559)</f>
        <v>4619.28</v>
      </c>
      <c r="H554" s="13">
        <f t="shared" ref="H554:I554" si="326">SUM(H555+H559)</f>
        <v>4583.78</v>
      </c>
      <c r="I554" s="13">
        <f t="shared" si="326"/>
        <v>4726.09</v>
      </c>
    </row>
    <row r="555" spans="1:9" ht="75" customHeight="1" x14ac:dyDescent="0.25">
      <c r="A555" s="18">
        <f t="shared" si="315"/>
        <v>544</v>
      </c>
      <c r="B555" s="16" t="s">
        <v>171</v>
      </c>
      <c r="C555" s="17" t="s">
        <v>14</v>
      </c>
      <c r="D555" s="17" t="s">
        <v>494</v>
      </c>
      <c r="E555" s="17" t="s">
        <v>172</v>
      </c>
      <c r="F555" s="17"/>
      <c r="G555" s="14">
        <f>SUM(G556)</f>
        <v>4514.3999999999996</v>
      </c>
      <c r="H555" s="14">
        <f t="shared" ref="H555:I555" si="327">SUM(H556)</f>
        <v>4583.78</v>
      </c>
      <c r="I555" s="14">
        <f t="shared" si="327"/>
        <v>4726.09</v>
      </c>
    </row>
    <row r="556" spans="1:9" ht="90" x14ac:dyDescent="0.25">
      <c r="A556" s="18">
        <f t="shared" si="315"/>
        <v>545</v>
      </c>
      <c r="B556" s="16" t="s">
        <v>495</v>
      </c>
      <c r="C556" s="17" t="s">
        <v>14</v>
      </c>
      <c r="D556" s="17" t="s">
        <v>494</v>
      </c>
      <c r="E556" s="17" t="s">
        <v>496</v>
      </c>
      <c r="F556" s="17"/>
      <c r="G556" s="14">
        <f>SUM(G557)</f>
        <v>4514.3999999999996</v>
      </c>
      <c r="H556" s="14">
        <f t="shared" ref="H556:I556" si="328">SUM(H557)</f>
        <v>4583.78</v>
      </c>
      <c r="I556" s="14">
        <f t="shared" si="328"/>
        <v>4726.09</v>
      </c>
    </row>
    <row r="557" spans="1:9" ht="54" x14ac:dyDescent="0.25">
      <c r="A557" s="18">
        <f t="shared" si="315"/>
        <v>546</v>
      </c>
      <c r="B557" s="16" t="s">
        <v>497</v>
      </c>
      <c r="C557" s="17" t="s">
        <v>14</v>
      </c>
      <c r="D557" s="17" t="s">
        <v>494</v>
      </c>
      <c r="E557" s="17" t="s">
        <v>498</v>
      </c>
      <c r="F557" s="17"/>
      <c r="G557" s="14">
        <f>SUM(G558)</f>
        <v>4514.3999999999996</v>
      </c>
      <c r="H557" s="14">
        <f t="shared" ref="H557:I557" si="329">SUM(H558)</f>
        <v>4583.78</v>
      </c>
      <c r="I557" s="14">
        <f t="shared" si="329"/>
        <v>4726.09</v>
      </c>
    </row>
    <row r="558" spans="1:9" ht="36" x14ac:dyDescent="0.25">
      <c r="A558" s="18">
        <f t="shared" si="315"/>
        <v>547</v>
      </c>
      <c r="B558" s="16" t="s">
        <v>157</v>
      </c>
      <c r="C558" s="17" t="s">
        <v>14</v>
      </c>
      <c r="D558" s="17" t="s">
        <v>494</v>
      </c>
      <c r="E558" s="17" t="s">
        <v>498</v>
      </c>
      <c r="F558" s="17" t="s">
        <v>158</v>
      </c>
      <c r="G558" s="14">
        <v>4514.3999999999996</v>
      </c>
      <c r="H558" s="14">
        <v>4583.78</v>
      </c>
      <c r="I558" s="14">
        <v>4726.09</v>
      </c>
    </row>
    <row r="559" spans="1:9" ht="18" x14ac:dyDescent="0.25">
      <c r="A559" s="18">
        <f t="shared" si="315"/>
        <v>548</v>
      </c>
      <c r="B559" s="16" t="s">
        <v>811</v>
      </c>
      <c r="C559" s="17" t="s">
        <v>14</v>
      </c>
      <c r="D559" s="17" t="s">
        <v>494</v>
      </c>
      <c r="E559" s="27" t="s">
        <v>45</v>
      </c>
      <c r="F559" s="17"/>
      <c r="G559" s="14">
        <f>SUM(G560)</f>
        <v>104.88</v>
      </c>
      <c r="H559" s="14">
        <f t="shared" ref="H559:I559" si="330">SUM(H560)</f>
        <v>0</v>
      </c>
      <c r="I559" s="14">
        <f t="shared" si="330"/>
        <v>0</v>
      </c>
    </row>
    <row r="560" spans="1:9" ht="144" x14ac:dyDescent="0.25">
      <c r="A560" s="18">
        <f t="shared" si="315"/>
        <v>549</v>
      </c>
      <c r="B560" s="16" t="s">
        <v>883</v>
      </c>
      <c r="C560" s="17" t="s">
        <v>14</v>
      </c>
      <c r="D560" s="17" t="s">
        <v>494</v>
      </c>
      <c r="E560" s="27" t="s">
        <v>882</v>
      </c>
      <c r="F560" s="17"/>
      <c r="G560" s="14">
        <f>SUM(G561)</f>
        <v>104.88</v>
      </c>
      <c r="H560" s="14">
        <f t="shared" ref="H560:I560" si="331">SUM(H561)</f>
        <v>0</v>
      </c>
      <c r="I560" s="14">
        <f t="shared" si="331"/>
        <v>0</v>
      </c>
    </row>
    <row r="561" spans="1:9" ht="36" x14ac:dyDescent="0.25">
      <c r="A561" s="18">
        <f t="shared" si="315"/>
        <v>550</v>
      </c>
      <c r="B561" s="16" t="s">
        <v>157</v>
      </c>
      <c r="C561" s="17" t="s">
        <v>14</v>
      </c>
      <c r="D561" s="17" t="s">
        <v>494</v>
      </c>
      <c r="E561" s="27" t="s">
        <v>882</v>
      </c>
      <c r="F561" s="17">
        <v>610</v>
      </c>
      <c r="G561" s="14">
        <v>104.88</v>
      </c>
      <c r="H561" s="14">
        <v>0</v>
      </c>
      <c r="I561" s="14">
        <v>0</v>
      </c>
    </row>
    <row r="562" spans="1:9" ht="36" x14ac:dyDescent="0.25">
      <c r="A562" s="19">
        <f t="shared" si="315"/>
        <v>551</v>
      </c>
      <c r="B562" s="20" t="s">
        <v>499</v>
      </c>
      <c r="C562" s="21" t="s">
        <v>14</v>
      </c>
      <c r="D562" s="21" t="s">
        <v>500</v>
      </c>
      <c r="E562" s="21"/>
      <c r="F562" s="21"/>
      <c r="G562" s="13">
        <f>SUM(G563+G582+G588)</f>
        <v>132522.75</v>
      </c>
      <c r="H562" s="13">
        <f t="shared" ref="H562:I562" si="332">SUM(H563+H582+H588)</f>
        <v>126543.27999999998</v>
      </c>
      <c r="I562" s="13">
        <f t="shared" si="332"/>
        <v>130944.09999999999</v>
      </c>
    </row>
    <row r="563" spans="1:9" ht="72.75" customHeight="1" x14ac:dyDescent="0.25">
      <c r="A563" s="18">
        <f t="shared" si="315"/>
        <v>552</v>
      </c>
      <c r="B563" s="16" t="s">
        <v>485</v>
      </c>
      <c r="C563" s="17" t="s">
        <v>14</v>
      </c>
      <c r="D563" s="17" t="s">
        <v>500</v>
      </c>
      <c r="E563" s="17" t="s">
        <v>486</v>
      </c>
      <c r="F563" s="17"/>
      <c r="G563" s="14">
        <f>SUM(G564+G570)</f>
        <v>123967.85</v>
      </c>
      <c r="H563" s="14">
        <f t="shared" ref="H563:I563" si="333">SUM(H564+H570)</f>
        <v>126468.19999999998</v>
      </c>
      <c r="I563" s="14">
        <f t="shared" si="333"/>
        <v>130944.09999999999</v>
      </c>
    </row>
    <row r="564" spans="1:9" ht="76.5" customHeight="1" x14ac:dyDescent="0.25">
      <c r="A564" s="18">
        <f t="shared" si="315"/>
        <v>553</v>
      </c>
      <c r="B564" s="16" t="s">
        <v>487</v>
      </c>
      <c r="C564" s="17" t="s">
        <v>14</v>
      </c>
      <c r="D564" s="17" t="s">
        <v>500</v>
      </c>
      <c r="E564" s="17" t="s">
        <v>488</v>
      </c>
      <c r="F564" s="17"/>
      <c r="G564" s="14">
        <f>SUM(G565+G567)</f>
        <v>1655.5</v>
      </c>
      <c r="H564" s="14">
        <f t="shared" ref="H564:I564" si="334">SUM(H565+H567)</f>
        <v>1732.5</v>
      </c>
      <c r="I564" s="14">
        <f t="shared" si="334"/>
        <v>1804.5</v>
      </c>
    </row>
    <row r="565" spans="1:9" ht="54" x14ac:dyDescent="0.25">
      <c r="A565" s="18">
        <f t="shared" si="315"/>
        <v>554</v>
      </c>
      <c r="B565" s="16" t="s">
        <v>501</v>
      </c>
      <c r="C565" s="17" t="s">
        <v>14</v>
      </c>
      <c r="D565" s="17" t="s">
        <v>500</v>
      </c>
      <c r="E565" s="17" t="s">
        <v>502</v>
      </c>
      <c r="F565" s="17"/>
      <c r="G565" s="14">
        <f>SUM(G566)</f>
        <v>1095</v>
      </c>
      <c r="H565" s="14">
        <f t="shared" ref="H565:I565" si="335">SUM(H566)</f>
        <v>1100</v>
      </c>
      <c r="I565" s="14">
        <f t="shared" si="335"/>
        <v>1100</v>
      </c>
    </row>
    <row r="566" spans="1:9" ht="36" x14ac:dyDescent="0.25">
      <c r="A566" s="18">
        <f t="shared" si="315"/>
        <v>555</v>
      </c>
      <c r="B566" s="16" t="s">
        <v>503</v>
      </c>
      <c r="C566" s="17" t="s">
        <v>14</v>
      </c>
      <c r="D566" s="17" t="s">
        <v>500</v>
      </c>
      <c r="E566" s="17" t="s">
        <v>502</v>
      </c>
      <c r="F566" s="17" t="s">
        <v>504</v>
      </c>
      <c r="G566" s="14">
        <v>1095</v>
      </c>
      <c r="H566" s="14">
        <v>1100</v>
      </c>
      <c r="I566" s="14">
        <v>1100</v>
      </c>
    </row>
    <row r="567" spans="1:9" ht="75" customHeight="1" x14ac:dyDescent="0.25">
      <c r="A567" s="18">
        <f t="shared" si="315"/>
        <v>556</v>
      </c>
      <c r="B567" s="16" t="s">
        <v>505</v>
      </c>
      <c r="C567" s="17" t="s">
        <v>14</v>
      </c>
      <c r="D567" s="17" t="s">
        <v>500</v>
      </c>
      <c r="E567" s="17" t="s">
        <v>506</v>
      </c>
      <c r="F567" s="17"/>
      <c r="G567" s="14">
        <f>SUM(G568:G569)</f>
        <v>560.5</v>
      </c>
      <c r="H567" s="14">
        <f t="shared" ref="H567:I567" si="336">SUM(H568:H569)</f>
        <v>632.5</v>
      </c>
      <c r="I567" s="14">
        <f t="shared" si="336"/>
        <v>704.5</v>
      </c>
    </row>
    <row r="568" spans="1:9" ht="60" customHeight="1" x14ac:dyDescent="0.25">
      <c r="A568" s="18">
        <f t="shared" si="315"/>
        <v>557</v>
      </c>
      <c r="B568" s="16" t="s">
        <v>33</v>
      </c>
      <c r="C568" s="17" t="s">
        <v>14</v>
      </c>
      <c r="D568" s="17" t="s">
        <v>500</v>
      </c>
      <c r="E568" s="17" t="s">
        <v>506</v>
      </c>
      <c r="F568" s="17" t="s">
        <v>34</v>
      </c>
      <c r="G568" s="14">
        <v>2.5</v>
      </c>
      <c r="H568" s="14">
        <v>2.5</v>
      </c>
      <c r="I568" s="14">
        <v>2.5</v>
      </c>
    </row>
    <row r="569" spans="1:9" ht="36" x14ac:dyDescent="0.25">
      <c r="A569" s="18">
        <f t="shared" si="315"/>
        <v>558</v>
      </c>
      <c r="B569" s="16" t="s">
        <v>503</v>
      </c>
      <c r="C569" s="17" t="s">
        <v>14</v>
      </c>
      <c r="D569" s="17" t="s">
        <v>500</v>
      </c>
      <c r="E569" s="17" t="s">
        <v>506</v>
      </c>
      <c r="F569" s="17" t="s">
        <v>504</v>
      </c>
      <c r="G569" s="14">
        <v>558</v>
      </c>
      <c r="H569" s="14">
        <v>630</v>
      </c>
      <c r="I569" s="14">
        <v>702</v>
      </c>
    </row>
    <row r="570" spans="1:9" ht="56.25" customHeight="1" x14ac:dyDescent="0.25">
      <c r="A570" s="18">
        <f t="shared" si="315"/>
        <v>559</v>
      </c>
      <c r="B570" s="16" t="s">
        <v>507</v>
      </c>
      <c r="C570" s="17" t="s">
        <v>14</v>
      </c>
      <c r="D570" s="17" t="s">
        <v>500</v>
      </c>
      <c r="E570" s="17" t="s">
        <v>508</v>
      </c>
      <c r="F570" s="17"/>
      <c r="G570" s="14">
        <f>SUM(G571+G574+G577+G580)</f>
        <v>122312.35</v>
      </c>
      <c r="H570" s="14">
        <f t="shared" ref="H570:I570" si="337">SUM(H571+H574+H577+H580)</f>
        <v>124735.69999999998</v>
      </c>
      <c r="I570" s="14">
        <f t="shared" si="337"/>
        <v>129139.59999999999</v>
      </c>
    </row>
    <row r="571" spans="1:9" ht="273" customHeight="1" x14ac:dyDescent="0.25">
      <c r="A571" s="18">
        <f t="shared" si="315"/>
        <v>560</v>
      </c>
      <c r="B571" s="16" t="s">
        <v>509</v>
      </c>
      <c r="C571" s="17" t="s">
        <v>14</v>
      </c>
      <c r="D571" s="17" t="s">
        <v>500</v>
      </c>
      <c r="E571" s="17" t="s">
        <v>510</v>
      </c>
      <c r="F571" s="17"/>
      <c r="G571" s="14">
        <f>SUM(G572:G573)</f>
        <v>16388</v>
      </c>
      <c r="H571" s="14">
        <f t="shared" ref="H571:I571" si="338">SUM(H572:H573)</f>
        <v>17084.900000000001</v>
      </c>
      <c r="I571" s="14">
        <f t="shared" si="338"/>
        <v>17809.7</v>
      </c>
    </row>
    <row r="572" spans="1:9" ht="54" customHeight="1" x14ac:dyDescent="0.25">
      <c r="A572" s="18">
        <f t="shared" si="315"/>
        <v>561</v>
      </c>
      <c r="B572" s="16" t="s">
        <v>33</v>
      </c>
      <c r="C572" s="17" t="s">
        <v>14</v>
      </c>
      <c r="D572" s="17" t="s">
        <v>500</v>
      </c>
      <c r="E572" s="17" t="s">
        <v>510</v>
      </c>
      <c r="F572" s="17" t="s">
        <v>34</v>
      </c>
      <c r="G572" s="14">
        <v>165</v>
      </c>
      <c r="H572" s="14">
        <v>165</v>
      </c>
      <c r="I572" s="14">
        <v>165</v>
      </c>
    </row>
    <row r="573" spans="1:9" ht="54" x14ac:dyDescent="0.25">
      <c r="A573" s="18">
        <f t="shared" si="315"/>
        <v>562</v>
      </c>
      <c r="B573" s="16" t="s">
        <v>491</v>
      </c>
      <c r="C573" s="17" t="s">
        <v>14</v>
      </c>
      <c r="D573" s="17" t="s">
        <v>500</v>
      </c>
      <c r="E573" s="17" t="s">
        <v>510</v>
      </c>
      <c r="F573" s="17" t="s">
        <v>492</v>
      </c>
      <c r="G573" s="14">
        <v>16223</v>
      </c>
      <c r="H573" s="14">
        <v>16919.900000000001</v>
      </c>
      <c r="I573" s="14">
        <v>17644.7</v>
      </c>
    </row>
    <row r="574" spans="1:9" ht="307.5" customHeight="1" x14ac:dyDescent="0.25">
      <c r="A574" s="18">
        <f t="shared" si="315"/>
        <v>563</v>
      </c>
      <c r="B574" s="16" t="s">
        <v>511</v>
      </c>
      <c r="C574" s="17" t="s">
        <v>14</v>
      </c>
      <c r="D574" s="17" t="s">
        <v>500</v>
      </c>
      <c r="E574" s="17" t="s">
        <v>512</v>
      </c>
      <c r="F574" s="17"/>
      <c r="G574" s="14">
        <f>SUM(G575:G576)</f>
        <v>86878.25</v>
      </c>
      <c r="H574" s="14">
        <f t="shared" ref="H574:I574" si="339">SUM(H575:H576)</f>
        <v>90734.399999999994</v>
      </c>
      <c r="I574" s="14">
        <f t="shared" si="339"/>
        <v>94438.3</v>
      </c>
    </row>
    <row r="575" spans="1:9" ht="53.25" customHeight="1" x14ac:dyDescent="0.25">
      <c r="A575" s="18">
        <f t="shared" si="315"/>
        <v>564</v>
      </c>
      <c r="B575" s="16" t="s">
        <v>33</v>
      </c>
      <c r="C575" s="17" t="s">
        <v>14</v>
      </c>
      <c r="D575" s="17" t="s">
        <v>500</v>
      </c>
      <c r="E575" s="17" t="s">
        <v>512</v>
      </c>
      <c r="F575" s="17" t="s">
        <v>34</v>
      </c>
      <c r="G575" s="14">
        <v>1120</v>
      </c>
      <c r="H575" s="14">
        <v>1150</v>
      </c>
      <c r="I575" s="14">
        <v>1210</v>
      </c>
    </row>
    <row r="576" spans="1:9" ht="54" x14ac:dyDescent="0.25">
      <c r="A576" s="18">
        <f t="shared" si="315"/>
        <v>565</v>
      </c>
      <c r="B576" s="16" t="s">
        <v>491</v>
      </c>
      <c r="C576" s="17" t="s">
        <v>14</v>
      </c>
      <c r="D576" s="17" t="s">
        <v>500</v>
      </c>
      <c r="E576" s="17" t="s">
        <v>512</v>
      </c>
      <c r="F576" s="17" t="s">
        <v>492</v>
      </c>
      <c r="G576" s="14">
        <v>85758.25</v>
      </c>
      <c r="H576" s="14">
        <v>89584.4</v>
      </c>
      <c r="I576" s="14">
        <v>93228.3</v>
      </c>
    </row>
    <row r="577" spans="1:9" ht="290.25" customHeight="1" x14ac:dyDescent="0.25">
      <c r="A577" s="18">
        <f t="shared" si="315"/>
        <v>566</v>
      </c>
      <c r="B577" s="16" t="s">
        <v>513</v>
      </c>
      <c r="C577" s="17" t="s">
        <v>14</v>
      </c>
      <c r="D577" s="17" t="s">
        <v>500</v>
      </c>
      <c r="E577" s="17" t="s">
        <v>514</v>
      </c>
      <c r="F577" s="17"/>
      <c r="G577" s="14">
        <f>SUM(G578:G579)</f>
        <v>18837.5</v>
      </c>
      <c r="H577" s="14">
        <f t="shared" ref="H577:I577" si="340">SUM(H578:H579)</f>
        <v>16693.7</v>
      </c>
      <c r="I577" s="14">
        <f t="shared" si="340"/>
        <v>16637.900000000001</v>
      </c>
    </row>
    <row r="578" spans="1:9" ht="56.25" customHeight="1" x14ac:dyDescent="0.25">
      <c r="A578" s="18">
        <f t="shared" si="315"/>
        <v>567</v>
      </c>
      <c r="B578" s="16" t="s">
        <v>33</v>
      </c>
      <c r="C578" s="17" t="s">
        <v>14</v>
      </c>
      <c r="D578" s="17" t="s">
        <v>500</v>
      </c>
      <c r="E578" s="17" t="s">
        <v>514</v>
      </c>
      <c r="F578" s="17" t="s">
        <v>34</v>
      </c>
      <c r="G578" s="14">
        <v>239</v>
      </c>
      <c r="H578" s="14">
        <v>240</v>
      </c>
      <c r="I578" s="14">
        <v>230</v>
      </c>
    </row>
    <row r="579" spans="1:9" ht="54" x14ac:dyDescent="0.25">
      <c r="A579" s="18">
        <f t="shared" si="315"/>
        <v>568</v>
      </c>
      <c r="B579" s="16" t="s">
        <v>491</v>
      </c>
      <c r="C579" s="17" t="s">
        <v>14</v>
      </c>
      <c r="D579" s="17" t="s">
        <v>500</v>
      </c>
      <c r="E579" s="17" t="s">
        <v>514</v>
      </c>
      <c r="F579" s="17" t="s">
        <v>492</v>
      </c>
      <c r="G579" s="14">
        <f>16878.5+1720</f>
        <v>18598.5</v>
      </c>
      <c r="H579" s="14">
        <v>16453.7</v>
      </c>
      <c r="I579" s="14">
        <v>16407.900000000001</v>
      </c>
    </row>
    <row r="580" spans="1:9" ht="311.25" customHeight="1" x14ac:dyDescent="0.25">
      <c r="A580" s="18">
        <f t="shared" si="315"/>
        <v>569</v>
      </c>
      <c r="B580" s="16" t="s">
        <v>515</v>
      </c>
      <c r="C580" s="17" t="s">
        <v>14</v>
      </c>
      <c r="D580" s="17" t="s">
        <v>500</v>
      </c>
      <c r="E580" s="17" t="s">
        <v>516</v>
      </c>
      <c r="F580" s="17"/>
      <c r="G580" s="14">
        <f>SUM(G581)</f>
        <v>208.6</v>
      </c>
      <c r="H580" s="14">
        <f t="shared" ref="H580:I580" si="341">SUM(H581)</f>
        <v>222.7</v>
      </c>
      <c r="I580" s="14">
        <f t="shared" si="341"/>
        <v>253.7</v>
      </c>
    </row>
    <row r="581" spans="1:9" ht="54" x14ac:dyDescent="0.25">
      <c r="A581" s="18">
        <f t="shared" si="315"/>
        <v>570</v>
      </c>
      <c r="B581" s="16" t="s">
        <v>491</v>
      </c>
      <c r="C581" s="17" t="s">
        <v>14</v>
      </c>
      <c r="D581" s="17" t="s">
        <v>500</v>
      </c>
      <c r="E581" s="17" t="s">
        <v>516</v>
      </c>
      <c r="F581" s="17" t="s">
        <v>492</v>
      </c>
      <c r="G581" s="14">
        <v>208.6</v>
      </c>
      <c r="H581" s="14">
        <v>222.7</v>
      </c>
      <c r="I581" s="14">
        <v>253.7</v>
      </c>
    </row>
    <row r="582" spans="1:9" ht="76.5" customHeight="1" x14ac:dyDescent="0.25">
      <c r="A582" s="18">
        <f t="shared" si="315"/>
        <v>571</v>
      </c>
      <c r="B582" s="16" t="s">
        <v>171</v>
      </c>
      <c r="C582" s="17" t="s">
        <v>14</v>
      </c>
      <c r="D582" s="17" t="s">
        <v>500</v>
      </c>
      <c r="E582" s="17" t="s">
        <v>172</v>
      </c>
      <c r="F582" s="17"/>
      <c r="G582" s="14">
        <f>SUM(G583)</f>
        <v>949.6</v>
      </c>
      <c r="H582" s="14">
        <f t="shared" ref="H582:I582" si="342">SUM(H583)</f>
        <v>75.08</v>
      </c>
      <c r="I582" s="14">
        <f t="shared" si="342"/>
        <v>0</v>
      </c>
    </row>
    <row r="583" spans="1:9" ht="72" x14ac:dyDescent="0.25">
      <c r="A583" s="18">
        <f t="shared" si="315"/>
        <v>572</v>
      </c>
      <c r="B583" s="16" t="s">
        <v>517</v>
      </c>
      <c r="C583" s="17" t="s">
        <v>14</v>
      </c>
      <c r="D583" s="17" t="s">
        <v>500</v>
      </c>
      <c r="E583" s="17" t="s">
        <v>518</v>
      </c>
      <c r="F583" s="17"/>
      <c r="G583" s="14">
        <f>SUM(G584+G586)</f>
        <v>949.6</v>
      </c>
      <c r="H583" s="14">
        <f t="shared" ref="H583:I583" si="343">SUM(H584+H586)</f>
        <v>75.08</v>
      </c>
      <c r="I583" s="14">
        <f t="shared" si="343"/>
        <v>0</v>
      </c>
    </row>
    <row r="584" spans="1:9" ht="90" x14ac:dyDescent="0.25">
      <c r="A584" s="18">
        <f t="shared" si="315"/>
        <v>573</v>
      </c>
      <c r="B584" s="16" t="s">
        <v>519</v>
      </c>
      <c r="C584" s="17" t="s">
        <v>14</v>
      </c>
      <c r="D584" s="17" t="s">
        <v>500</v>
      </c>
      <c r="E584" s="17" t="s">
        <v>801</v>
      </c>
      <c r="F584" s="17"/>
      <c r="G584" s="14">
        <f>SUM(G585)</f>
        <v>949.6</v>
      </c>
      <c r="H584" s="14">
        <f t="shared" ref="H584:I584" si="344">SUM(H585)</f>
        <v>37.5</v>
      </c>
      <c r="I584" s="14">
        <f t="shared" si="344"/>
        <v>0</v>
      </c>
    </row>
    <row r="585" spans="1:9" ht="54" x14ac:dyDescent="0.25">
      <c r="A585" s="18">
        <f t="shared" si="315"/>
        <v>574</v>
      </c>
      <c r="B585" s="16" t="s">
        <v>491</v>
      </c>
      <c r="C585" s="17" t="s">
        <v>14</v>
      </c>
      <c r="D585" s="17" t="s">
        <v>500</v>
      </c>
      <c r="E585" s="17" t="s">
        <v>801</v>
      </c>
      <c r="F585" s="17" t="s">
        <v>492</v>
      </c>
      <c r="G585" s="14">
        <v>949.6</v>
      </c>
      <c r="H585" s="14">
        <v>37.5</v>
      </c>
      <c r="I585" s="14">
        <v>0</v>
      </c>
    </row>
    <row r="586" spans="1:9" ht="54" x14ac:dyDescent="0.25">
      <c r="A586" s="18">
        <f t="shared" si="315"/>
        <v>575</v>
      </c>
      <c r="B586" s="16" t="s">
        <v>520</v>
      </c>
      <c r="C586" s="17" t="s">
        <v>14</v>
      </c>
      <c r="D586" s="17" t="s">
        <v>500</v>
      </c>
      <c r="E586" s="17" t="s">
        <v>521</v>
      </c>
      <c r="F586" s="17"/>
      <c r="G586" s="14">
        <f>SUM(G587)</f>
        <v>0</v>
      </c>
      <c r="H586" s="14">
        <f t="shared" ref="H586:I586" si="345">SUM(H587)</f>
        <v>37.58</v>
      </c>
      <c r="I586" s="14">
        <f t="shared" si="345"/>
        <v>0</v>
      </c>
    </row>
    <row r="587" spans="1:9" ht="54" x14ac:dyDescent="0.25">
      <c r="A587" s="18">
        <f t="shared" si="315"/>
        <v>576</v>
      </c>
      <c r="B587" s="16" t="s">
        <v>491</v>
      </c>
      <c r="C587" s="17" t="s">
        <v>14</v>
      </c>
      <c r="D587" s="17" t="s">
        <v>500</v>
      </c>
      <c r="E587" s="17" t="s">
        <v>521</v>
      </c>
      <c r="F587" s="17" t="s">
        <v>492</v>
      </c>
      <c r="G587" s="14">
        <v>0</v>
      </c>
      <c r="H587" s="14">
        <v>37.58</v>
      </c>
      <c r="I587" s="14">
        <v>0</v>
      </c>
    </row>
    <row r="588" spans="1:9" ht="18" x14ac:dyDescent="0.25">
      <c r="A588" s="18">
        <f t="shared" si="315"/>
        <v>577</v>
      </c>
      <c r="B588" s="16" t="s">
        <v>811</v>
      </c>
      <c r="C588" s="17" t="s">
        <v>14</v>
      </c>
      <c r="D588" s="17" t="s">
        <v>500</v>
      </c>
      <c r="E588" s="27" t="s">
        <v>45</v>
      </c>
      <c r="F588" s="17"/>
      <c r="G588" s="14">
        <f>SUM(G589)</f>
        <v>7605.3</v>
      </c>
      <c r="H588" s="14">
        <f t="shared" ref="H588:I588" si="346">SUM(H589)</f>
        <v>0</v>
      </c>
      <c r="I588" s="14">
        <f t="shared" si="346"/>
        <v>0</v>
      </c>
    </row>
    <row r="589" spans="1:9" ht="144" x14ac:dyDescent="0.25">
      <c r="A589" s="18">
        <f t="shared" si="315"/>
        <v>578</v>
      </c>
      <c r="B589" s="16" t="s">
        <v>883</v>
      </c>
      <c r="C589" s="17" t="s">
        <v>14</v>
      </c>
      <c r="D589" s="17" t="s">
        <v>500</v>
      </c>
      <c r="E589" s="27" t="s">
        <v>810</v>
      </c>
      <c r="F589" s="17"/>
      <c r="G589" s="14">
        <f>SUM(G590:G591)</f>
        <v>7605.3</v>
      </c>
      <c r="H589" s="14">
        <f t="shared" ref="H589:I589" si="347">SUM(H590:H591)</f>
        <v>0</v>
      </c>
      <c r="I589" s="14">
        <f t="shared" si="347"/>
        <v>0</v>
      </c>
    </row>
    <row r="590" spans="1:9" ht="58.5" customHeight="1" x14ac:dyDescent="0.25">
      <c r="A590" s="18">
        <f t="shared" si="315"/>
        <v>579</v>
      </c>
      <c r="B590" s="16" t="s">
        <v>33</v>
      </c>
      <c r="C590" s="17" t="s">
        <v>14</v>
      </c>
      <c r="D590" s="17" t="s">
        <v>500</v>
      </c>
      <c r="E590" s="27" t="s">
        <v>810</v>
      </c>
      <c r="F590" s="17">
        <v>240</v>
      </c>
      <c r="G590" s="14">
        <v>5.3</v>
      </c>
      <c r="H590" s="14">
        <v>0</v>
      </c>
      <c r="I590" s="14">
        <v>0</v>
      </c>
    </row>
    <row r="591" spans="1:9" ht="36" x14ac:dyDescent="0.25">
      <c r="A591" s="18">
        <f t="shared" si="315"/>
        <v>580</v>
      </c>
      <c r="B591" s="16" t="s">
        <v>503</v>
      </c>
      <c r="C591" s="17" t="s">
        <v>14</v>
      </c>
      <c r="D591" s="17" t="s">
        <v>500</v>
      </c>
      <c r="E591" s="27" t="s">
        <v>810</v>
      </c>
      <c r="F591" s="17">
        <v>310</v>
      </c>
      <c r="G591" s="14">
        <v>7600</v>
      </c>
      <c r="H591" s="14">
        <v>0</v>
      </c>
      <c r="I591" s="14">
        <v>0</v>
      </c>
    </row>
    <row r="592" spans="1:9" ht="18" x14ac:dyDescent="0.25">
      <c r="A592" s="19">
        <f t="shared" si="315"/>
        <v>581</v>
      </c>
      <c r="B592" s="20" t="s">
        <v>522</v>
      </c>
      <c r="C592" s="21" t="s">
        <v>14</v>
      </c>
      <c r="D592" s="21" t="s">
        <v>523</v>
      </c>
      <c r="E592" s="21"/>
      <c r="F592" s="21"/>
      <c r="G592" s="13">
        <f>SUM(G593)</f>
        <v>4193.1000000000004</v>
      </c>
      <c r="H592" s="13">
        <f t="shared" ref="H592:I592" si="348">SUM(H593)</f>
        <v>2251.5100000000002</v>
      </c>
      <c r="I592" s="13">
        <f t="shared" si="348"/>
        <v>1237.06</v>
      </c>
    </row>
    <row r="593" spans="1:9" ht="132" customHeight="1" x14ac:dyDescent="0.25">
      <c r="A593" s="18">
        <f t="shared" si="315"/>
        <v>582</v>
      </c>
      <c r="B593" s="16" t="s">
        <v>64</v>
      </c>
      <c r="C593" s="17" t="s">
        <v>14</v>
      </c>
      <c r="D593" s="17" t="s">
        <v>523</v>
      </c>
      <c r="E593" s="17" t="s">
        <v>65</v>
      </c>
      <c r="F593" s="17"/>
      <c r="G593" s="14">
        <f>SUM(G594+G597)</f>
        <v>4193.1000000000004</v>
      </c>
      <c r="H593" s="14">
        <f t="shared" ref="H593:I593" si="349">SUM(H594+H597)</f>
        <v>2251.5100000000002</v>
      </c>
      <c r="I593" s="14">
        <f t="shared" si="349"/>
        <v>1237.06</v>
      </c>
    </row>
    <row r="594" spans="1:9" ht="90" x14ac:dyDescent="0.25">
      <c r="A594" s="18">
        <f t="shared" si="315"/>
        <v>583</v>
      </c>
      <c r="B594" s="16" t="s">
        <v>524</v>
      </c>
      <c r="C594" s="17" t="s">
        <v>14</v>
      </c>
      <c r="D594" s="17" t="s">
        <v>523</v>
      </c>
      <c r="E594" s="17" t="s">
        <v>525</v>
      </c>
      <c r="F594" s="17"/>
      <c r="G594" s="14">
        <f>SUM(G595)</f>
        <v>3494.53</v>
      </c>
      <c r="H594" s="14">
        <f t="shared" ref="H594:I594" si="350">SUM(H595)</f>
        <v>1974.99</v>
      </c>
      <c r="I594" s="14">
        <f t="shared" si="350"/>
        <v>960.54</v>
      </c>
    </row>
    <row r="595" spans="1:9" ht="90" x14ac:dyDescent="0.25">
      <c r="A595" s="18">
        <f t="shared" si="315"/>
        <v>584</v>
      </c>
      <c r="B595" s="16" t="s">
        <v>526</v>
      </c>
      <c r="C595" s="17" t="s">
        <v>14</v>
      </c>
      <c r="D595" s="17" t="s">
        <v>523</v>
      </c>
      <c r="E595" s="17" t="s">
        <v>527</v>
      </c>
      <c r="F595" s="17"/>
      <c r="G595" s="14">
        <f>SUM(G596)</f>
        <v>3494.53</v>
      </c>
      <c r="H595" s="14">
        <f>SUM(H596)</f>
        <v>1974.99</v>
      </c>
      <c r="I595" s="14">
        <f>SUM(I596)</f>
        <v>960.54</v>
      </c>
    </row>
    <row r="596" spans="1:9" ht="54" x14ac:dyDescent="0.25">
      <c r="A596" s="18">
        <f t="shared" si="315"/>
        <v>585</v>
      </c>
      <c r="B596" s="16" t="s">
        <v>491</v>
      </c>
      <c r="C596" s="17" t="s">
        <v>14</v>
      </c>
      <c r="D596" s="17" t="s">
        <v>523</v>
      </c>
      <c r="E596" s="17" t="s">
        <v>527</v>
      </c>
      <c r="F596" s="17" t="s">
        <v>492</v>
      </c>
      <c r="G596" s="14">
        <v>3494.53</v>
      </c>
      <c r="H596" s="14">
        <f>1135.18+839.81</f>
        <v>1974.99</v>
      </c>
      <c r="I596" s="14">
        <v>960.54</v>
      </c>
    </row>
    <row r="597" spans="1:9" ht="93.75" customHeight="1" x14ac:dyDescent="0.25">
      <c r="A597" s="18">
        <f t="shared" si="315"/>
        <v>586</v>
      </c>
      <c r="B597" s="16" t="s">
        <v>528</v>
      </c>
      <c r="C597" s="17" t="s">
        <v>14</v>
      </c>
      <c r="D597" s="17" t="s">
        <v>523</v>
      </c>
      <c r="E597" s="17" t="s">
        <v>529</v>
      </c>
      <c r="F597" s="17"/>
      <c r="G597" s="14">
        <f>SUM(G600+G598)</f>
        <v>698.56999999999994</v>
      </c>
      <c r="H597" s="14">
        <f t="shared" ref="H597:I597" si="351">SUM(H600+H598)</f>
        <v>276.52</v>
      </c>
      <c r="I597" s="14">
        <f t="shared" si="351"/>
        <v>276.52</v>
      </c>
    </row>
    <row r="598" spans="1:9" ht="55.5" customHeight="1" x14ac:dyDescent="0.25">
      <c r="A598" s="18">
        <f t="shared" si="315"/>
        <v>587</v>
      </c>
      <c r="B598" s="16" t="s">
        <v>803</v>
      </c>
      <c r="C598" s="17" t="s">
        <v>14</v>
      </c>
      <c r="D598" s="17" t="s">
        <v>523</v>
      </c>
      <c r="E598" s="27" t="s">
        <v>802</v>
      </c>
      <c r="F598" s="17"/>
      <c r="G598" s="14">
        <f>SUM(G599)</f>
        <v>358.9</v>
      </c>
      <c r="H598" s="14">
        <f t="shared" ref="H598:I598" si="352">SUM(H599)</f>
        <v>0</v>
      </c>
      <c r="I598" s="14">
        <f t="shared" si="352"/>
        <v>0</v>
      </c>
    </row>
    <row r="599" spans="1:9" ht="55.5" customHeight="1" x14ac:dyDescent="0.25">
      <c r="A599" s="18">
        <f t="shared" si="315"/>
        <v>588</v>
      </c>
      <c r="B599" s="16" t="s">
        <v>491</v>
      </c>
      <c r="C599" s="17" t="s">
        <v>14</v>
      </c>
      <c r="D599" s="17" t="s">
        <v>523</v>
      </c>
      <c r="E599" s="27" t="s">
        <v>802</v>
      </c>
      <c r="F599" s="17" t="s">
        <v>492</v>
      </c>
      <c r="G599" s="14">
        <v>358.9</v>
      </c>
      <c r="H599" s="14">
        <v>0</v>
      </c>
      <c r="I599" s="14">
        <v>0</v>
      </c>
    </row>
    <row r="600" spans="1:9" ht="54" x14ac:dyDescent="0.25">
      <c r="A600" s="18">
        <f t="shared" si="315"/>
        <v>589</v>
      </c>
      <c r="B600" s="16" t="s">
        <v>530</v>
      </c>
      <c r="C600" s="17" t="s">
        <v>14</v>
      </c>
      <c r="D600" s="17" t="s">
        <v>523</v>
      </c>
      <c r="E600" s="17" t="s">
        <v>531</v>
      </c>
      <c r="F600" s="17"/>
      <c r="G600" s="14">
        <f>SUM(G601)</f>
        <v>339.67</v>
      </c>
      <c r="H600" s="14">
        <f t="shared" ref="H600:I600" si="353">SUM(H601)</f>
        <v>276.52</v>
      </c>
      <c r="I600" s="14">
        <f t="shared" si="353"/>
        <v>276.52</v>
      </c>
    </row>
    <row r="601" spans="1:9" ht="54" x14ac:dyDescent="0.25">
      <c r="A601" s="18">
        <f t="shared" si="315"/>
        <v>590</v>
      </c>
      <c r="B601" s="16" t="s">
        <v>491</v>
      </c>
      <c r="C601" s="17" t="s">
        <v>14</v>
      </c>
      <c r="D601" s="17" t="s">
        <v>523</v>
      </c>
      <c r="E601" s="17" t="s">
        <v>531</v>
      </c>
      <c r="F601" s="17" t="s">
        <v>492</v>
      </c>
      <c r="G601" s="14">
        <v>339.67</v>
      </c>
      <c r="H601" s="14">
        <v>276.52</v>
      </c>
      <c r="I601" s="14">
        <v>276.52</v>
      </c>
    </row>
    <row r="602" spans="1:9" ht="36" x14ac:dyDescent="0.25">
      <c r="A602" s="19">
        <f t="shared" si="315"/>
        <v>591</v>
      </c>
      <c r="B602" s="20" t="s">
        <v>532</v>
      </c>
      <c r="C602" s="21" t="s">
        <v>14</v>
      </c>
      <c r="D602" s="21" t="s">
        <v>533</v>
      </c>
      <c r="E602" s="21"/>
      <c r="F602" s="21"/>
      <c r="G602" s="13">
        <f>SUM(G603+G618)</f>
        <v>8752.0499999999993</v>
      </c>
      <c r="H602" s="13">
        <f t="shared" ref="H602:I602" si="354">SUM(H603+H618)</f>
        <v>8554.7999999999993</v>
      </c>
      <c r="I602" s="13">
        <f t="shared" si="354"/>
        <v>8722.2000000000007</v>
      </c>
    </row>
    <row r="603" spans="1:9" ht="75" customHeight="1" x14ac:dyDescent="0.25">
      <c r="A603" s="18">
        <f t="shared" si="315"/>
        <v>592</v>
      </c>
      <c r="B603" s="16" t="s">
        <v>485</v>
      </c>
      <c r="C603" s="17" t="s">
        <v>14</v>
      </c>
      <c r="D603" s="17" t="s">
        <v>533</v>
      </c>
      <c r="E603" s="17" t="s">
        <v>486</v>
      </c>
      <c r="F603" s="17"/>
      <c r="G603" s="14">
        <f>SUM(G604+G611)</f>
        <v>7427.25</v>
      </c>
      <c r="H603" s="14">
        <f t="shared" ref="H603:I603" si="355">SUM(H604+H611)</f>
        <v>7268.5</v>
      </c>
      <c r="I603" s="14">
        <f t="shared" si="355"/>
        <v>7435.9000000000005</v>
      </c>
    </row>
    <row r="604" spans="1:9" ht="73.5" customHeight="1" x14ac:dyDescent="0.25">
      <c r="A604" s="18">
        <f t="shared" si="315"/>
        <v>593</v>
      </c>
      <c r="B604" s="16" t="s">
        <v>487</v>
      </c>
      <c r="C604" s="17" t="s">
        <v>14</v>
      </c>
      <c r="D604" s="17" t="s">
        <v>533</v>
      </c>
      <c r="E604" s="17" t="s">
        <v>488</v>
      </c>
      <c r="F604" s="17"/>
      <c r="G604" s="14">
        <f>SUM(G605+G607+G609)</f>
        <v>211</v>
      </c>
      <c r="H604" s="14">
        <f t="shared" ref="H604:I604" si="356">SUM(H605+H607+H609)</f>
        <v>186</v>
      </c>
      <c r="I604" s="14">
        <f t="shared" si="356"/>
        <v>186</v>
      </c>
    </row>
    <row r="605" spans="1:9" ht="74.25" customHeight="1" x14ac:dyDescent="0.25">
      <c r="A605" s="18">
        <f t="shared" si="315"/>
        <v>594</v>
      </c>
      <c r="B605" s="16" t="s">
        <v>505</v>
      </c>
      <c r="C605" s="17" t="s">
        <v>14</v>
      </c>
      <c r="D605" s="17" t="s">
        <v>533</v>
      </c>
      <c r="E605" s="17" t="s">
        <v>506</v>
      </c>
      <c r="F605" s="17"/>
      <c r="G605" s="14">
        <f>SUM(G606)</f>
        <v>25</v>
      </c>
      <c r="H605" s="14">
        <f t="shared" ref="H605:I605" si="357">SUM(H606)</f>
        <v>0</v>
      </c>
      <c r="I605" s="14">
        <f t="shared" si="357"/>
        <v>0</v>
      </c>
    </row>
    <row r="606" spans="1:9" ht="18" x14ac:dyDescent="0.25">
      <c r="A606" s="18">
        <f t="shared" si="315"/>
        <v>595</v>
      </c>
      <c r="B606" s="16" t="s">
        <v>140</v>
      </c>
      <c r="C606" s="17" t="s">
        <v>14</v>
      </c>
      <c r="D606" s="17" t="s">
        <v>533</v>
      </c>
      <c r="E606" s="17" t="s">
        <v>506</v>
      </c>
      <c r="F606" s="17" t="s">
        <v>141</v>
      </c>
      <c r="G606" s="14">
        <v>25</v>
      </c>
      <c r="H606" s="14">
        <v>0</v>
      </c>
      <c r="I606" s="14">
        <v>0</v>
      </c>
    </row>
    <row r="607" spans="1:9" ht="108" customHeight="1" x14ac:dyDescent="0.25">
      <c r="A607" s="18">
        <f t="shared" si="315"/>
        <v>596</v>
      </c>
      <c r="B607" s="16" t="s">
        <v>534</v>
      </c>
      <c r="C607" s="17" t="s">
        <v>14</v>
      </c>
      <c r="D607" s="17" t="s">
        <v>533</v>
      </c>
      <c r="E607" s="17" t="s">
        <v>535</v>
      </c>
      <c r="F607" s="17"/>
      <c r="G607" s="14">
        <f>SUM(G608)</f>
        <v>4</v>
      </c>
      <c r="H607" s="14">
        <f t="shared" ref="H607:I607" si="358">SUM(H608)</f>
        <v>4</v>
      </c>
      <c r="I607" s="14">
        <f t="shared" si="358"/>
        <v>4</v>
      </c>
    </row>
    <row r="608" spans="1:9" ht="18" x14ac:dyDescent="0.25">
      <c r="A608" s="18">
        <f t="shared" si="315"/>
        <v>597</v>
      </c>
      <c r="B608" s="16" t="s">
        <v>177</v>
      </c>
      <c r="C608" s="17" t="s">
        <v>14</v>
      </c>
      <c r="D608" s="17" t="s">
        <v>533</v>
      </c>
      <c r="E608" s="17" t="s">
        <v>535</v>
      </c>
      <c r="F608" s="17" t="s">
        <v>178</v>
      </c>
      <c r="G608" s="14">
        <v>4</v>
      </c>
      <c r="H608" s="14">
        <v>4</v>
      </c>
      <c r="I608" s="14">
        <v>4</v>
      </c>
    </row>
    <row r="609" spans="1:9" ht="72" x14ac:dyDescent="0.25">
      <c r="A609" s="18">
        <f t="shared" si="315"/>
        <v>598</v>
      </c>
      <c r="B609" s="16" t="s">
        <v>536</v>
      </c>
      <c r="C609" s="17" t="s">
        <v>14</v>
      </c>
      <c r="D609" s="17" t="s">
        <v>533</v>
      </c>
      <c r="E609" s="17" t="s">
        <v>537</v>
      </c>
      <c r="F609" s="17"/>
      <c r="G609" s="14">
        <f>SUM(G610)</f>
        <v>182</v>
      </c>
      <c r="H609" s="14">
        <f t="shared" ref="H609:I609" si="359">SUM(H610)</f>
        <v>182</v>
      </c>
      <c r="I609" s="14">
        <f t="shared" si="359"/>
        <v>182</v>
      </c>
    </row>
    <row r="610" spans="1:9" ht="57.75" customHeight="1" x14ac:dyDescent="0.25">
      <c r="A610" s="18">
        <f t="shared" si="315"/>
        <v>599</v>
      </c>
      <c r="B610" s="16" t="s">
        <v>33</v>
      </c>
      <c r="C610" s="17" t="s">
        <v>14</v>
      </c>
      <c r="D610" s="17" t="s">
        <v>533</v>
      </c>
      <c r="E610" s="17" t="s">
        <v>537</v>
      </c>
      <c r="F610" s="17" t="s">
        <v>34</v>
      </c>
      <c r="G610" s="14">
        <v>182</v>
      </c>
      <c r="H610" s="14">
        <v>182</v>
      </c>
      <c r="I610" s="14">
        <v>182</v>
      </c>
    </row>
    <row r="611" spans="1:9" ht="57.75" customHeight="1" x14ac:dyDescent="0.25">
      <c r="A611" s="18">
        <f t="shared" ref="A611:A681" si="360">SUM(A610+1)</f>
        <v>600</v>
      </c>
      <c r="B611" s="16" t="s">
        <v>507</v>
      </c>
      <c r="C611" s="17" t="s">
        <v>14</v>
      </c>
      <c r="D611" s="17" t="s">
        <v>533</v>
      </c>
      <c r="E611" s="17" t="s">
        <v>508</v>
      </c>
      <c r="F611" s="17"/>
      <c r="G611" s="14">
        <f>SUM(G612+G615)</f>
        <v>7216.25</v>
      </c>
      <c r="H611" s="14">
        <f t="shared" ref="H611:I611" si="361">SUM(H612+H615)</f>
        <v>7082.5</v>
      </c>
      <c r="I611" s="14">
        <f t="shared" si="361"/>
        <v>7249.9000000000005</v>
      </c>
    </row>
    <row r="612" spans="1:9" ht="276.75" customHeight="1" x14ac:dyDescent="0.25">
      <c r="A612" s="18">
        <f t="shared" si="360"/>
        <v>601</v>
      </c>
      <c r="B612" s="16" t="s">
        <v>509</v>
      </c>
      <c r="C612" s="17" t="s">
        <v>14</v>
      </c>
      <c r="D612" s="17" t="s">
        <v>533</v>
      </c>
      <c r="E612" s="17" t="s">
        <v>510</v>
      </c>
      <c r="F612" s="17"/>
      <c r="G612" s="14">
        <f>SUM(G613:G614)</f>
        <v>1034.8</v>
      </c>
      <c r="H612" s="14">
        <f t="shared" ref="H612:I612" si="362">SUM(H613:H614)</f>
        <v>1034.8</v>
      </c>
      <c r="I612" s="14">
        <f t="shared" si="362"/>
        <v>1034.8</v>
      </c>
    </row>
    <row r="613" spans="1:9" ht="54" x14ac:dyDescent="0.25">
      <c r="A613" s="18">
        <f t="shared" si="360"/>
        <v>602</v>
      </c>
      <c r="B613" s="16" t="s">
        <v>25</v>
      </c>
      <c r="C613" s="17" t="s">
        <v>14</v>
      </c>
      <c r="D613" s="17" t="s">
        <v>533</v>
      </c>
      <c r="E613" s="17" t="s">
        <v>510</v>
      </c>
      <c r="F613" s="17" t="s">
        <v>26</v>
      </c>
      <c r="G613" s="14">
        <v>872.37</v>
      </c>
      <c r="H613" s="14">
        <v>1034.8</v>
      </c>
      <c r="I613" s="14">
        <v>1034.8</v>
      </c>
    </row>
    <row r="614" spans="1:9" ht="54" customHeight="1" x14ac:dyDescent="0.25">
      <c r="A614" s="18">
        <f t="shared" si="360"/>
        <v>603</v>
      </c>
      <c r="B614" s="16" t="s">
        <v>33</v>
      </c>
      <c r="C614" s="17" t="s">
        <v>14</v>
      </c>
      <c r="D614" s="17" t="s">
        <v>533</v>
      </c>
      <c r="E614" s="17" t="s">
        <v>510</v>
      </c>
      <c r="F614" s="17" t="s">
        <v>34</v>
      </c>
      <c r="G614" s="14">
        <v>162.43</v>
      </c>
      <c r="H614" s="14">
        <v>0</v>
      </c>
      <c r="I614" s="14">
        <v>0</v>
      </c>
    </row>
    <row r="615" spans="1:9" ht="306.75" customHeight="1" x14ac:dyDescent="0.25">
      <c r="A615" s="18">
        <f t="shared" si="360"/>
        <v>604</v>
      </c>
      <c r="B615" s="16" t="s">
        <v>511</v>
      </c>
      <c r="C615" s="17" t="s">
        <v>14</v>
      </c>
      <c r="D615" s="17" t="s">
        <v>533</v>
      </c>
      <c r="E615" s="17" t="s">
        <v>512</v>
      </c>
      <c r="F615" s="17"/>
      <c r="G615" s="14">
        <f>SUM(G616:G617)</f>
        <v>6181.45</v>
      </c>
      <c r="H615" s="14">
        <f t="shared" ref="H615:I615" si="363">SUM(H616:H617)</f>
        <v>6047.7</v>
      </c>
      <c r="I615" s="14">
        <f t="shared" si="363"/>
        <v>6215.1</v>
      </c>
    </row>
    <row r="616" spans="1:9" ht="54" x14ac:dyDescent="0.25">
      <c r="A616" s="18">
        <f t="shared" si="360"/>
        <v>605</v>
      </c>
      <c r="B616" s="16" t="s">
        <v>25</v>
      </c>
      <c r="C616" s="17" t="s">
        <v>14</v>
      </c>
      <c r="D616" s="17" t="s">
        <v>533</v>
      </c>
      <c r="E616" s="17" t="s">
        <v>512</v>
      </c>
      <c r="F616" s="17" t="s">
        <v>26</v>
      </c>
      <c r="G616" s="14">
        <v>4155.75</v>
      </c>
      <c r="H616" s="14">
        <v>4177.7</v>
      </c>
      <c r="I616" s="14">
        <v>4345.1000000000004</v>
      </c>
    </row>
    <row r="617" spans="1:9" ht="57" customHeight="1" x14ac:dyDescent="0.25">
      <c r="A617" s="18">
        <f t="shared" si="360"/>
        <v>606</v>
      </c>
      <c r="B617" s="16" t="s">
        <v>33</v>
      </c>
      <c r="C617" s="17" t="s">
        <v>14</v>
      </c>
      <c r="D617" s="17" t="s">
        <v>533</v>
      </c>
      <c r="E617" s="17" t="s">
        <v>512</v>
      </c>
      <c r="F617" s="17" t="s">
        <v>34</v>
      </c>
      <c r="G617" s="14">
        <v>2025.7</v>
      </c>
      <c r="H617" s="14">
        <v>1870</v>
      </c>
      <c r="I617" s="14">
        <v>1870</v>
      </c>
    </row>
    <row r="618" spans="1:9" ht="90" x14ac:dyDescent="0.25">
      <c r="A618" s="18">
        <f t="shared" si="360"/>
        <v>607</v>
      </c>
      <c r="B618" s="16" t="s">
        <v>171</v>
      </c>
      <c r="C618" s="17" t="s">
        <v>14</v>
      </c>
      <c r="D618" s="17" t="s">
        <v>533</v>
      </c>
      <c r="E618" s="17" t="s">
        <v>172</v>
      </c>
      <c r="F618" s="17"/>
      <c r="G618" s="14">
        <f>SUM(G619)</f>
        <v>1324.8</v>
      </c>
      <c r="H618" s="14">
        <f t="shared" ref="H618:I618" si="364">SUM(H619)</f>
        <v>1286.3</v>
      </c>
      <c r="I618" s="14">
        <f t="shared" si="364"/>
        <v>1286.3</v>
      </c>
    </row>
    <row r="619" spans="1:9" ht="90" x14ac:dyDescent="0.25">
      <c r="A619" s="18">
        <f t="shared" si="360"/>
        <v>608</v>
      </c>
      <c r="B619" s="16" t="s">
        <v>495</v>
      </c>
      <c r="C619" s="17" t="s">
        <v>14</v>
      </c>
      <c r="D619" s="17" t="s">
        <v>533</v>
      </c>
      <c r="E619" s="17" t="s">
        <v>496</v>
      </c>
      <c r="F619" s="17"/>
      <c r="G619" s="14">
        <f>SUM(G620)</f>
        <v>1324.8</v>
      </c>
      <c r="H619" s="14">
        <f t="shared" ref="H619:I619" si="365">SUM(H620)</f>
        <v>1286.3</v>
      </c>
      <c r="I619" s="14">
        <f t="shared" si="365"/>
        <v>1286.3</v>
      </c>
    </row>
    <row r="620" spans="1:9" ht="93.75" customHeight="1" x14ac:dyDescent="0.25">
      <c r="A620" s="18">
        <f t="shared" si="360"/>
        <v>609</v>
      </c>
      <c r="B620" s="16" t="s">
        <v>538</v>
      </c>
      <c r="C620" s="17" t="s">
        <v>14</v>
      </c>
      <c r="D620" s="17" t="s">
        <v>533</v>
      </c>
      <c r="E620" s="17" t="s">
        <v>539</v>
      </c>
      <c r="F620" s="17"/>
      <c r="G620" s="14">
        <f>SUM(G621)</f>
        <v>1324.8</v>
      </c>
      <c r="H620" s="14">
        <f t="shared" ref="H620:I620" si="366">SUM(H621)</f>
        <v>1286.3</v>
      </c>
      <c r="I620" s="14">
        <f t="shared" si="366"/>
        <v>1286.3</v>
      </c>
    </row>
    <row r="621" spans="1:9" ht="108" x14ac:dyDescent="0.25">
      <c r="A621" s="18">
        <f t="shared" si="360"/>
        <v>610</v>
      </c>
      <c r="B621" s="16" t="s">
        <v>120</v>
      </c>
      <c r="C621" s="17" t="s">
        <v>14</v>
      </c>
      <c r="D621" s="17" t="s">
        <v>533</v>
      </c>
      <c r="E621" s="17" t="s">
        <v>539</v>
      </c>
      <c r="F621" s="17" t="s">
        <v>121</v>
      </c>
      <c r="G621" s="14">
        <v>1324.8</v>
      </c>
      <c r="H621" s="14">
        <v>1286.3</v>
      </c>
      <c r="I621" s="14">
        <v>1286.3</v>
      </c>
    </row>
    <row r="622" spans="1:9" ht="36" x14ac:dyDescent="0.25">
      <c r="A622" s="19">
        <f t="shared" si="360"/>
        <v>611</v>
      </c>
      <c r="B622" s="20" t="s">
        <v>540</v>
      </c>
      <c r="C622" s="21" t="s">
        <v>14</v>
      </c>
      <c r="D622" s="21" t="s">
        <v>541</v>
      </c>
      <c r="E622" s="21"/>
      <c r="F622" s="21"/>
      <c r="G622" s="13">
        <f>SUM(G623+G644+G660)</f>
        <v>133965.17000000001</v>
      </c>
      <c r="H622" s="13">
        <f t="shared" ref="H622:I622" si="367">SUM(H623+H644+H660)</f>
        <v>130794.70999999999</v>
      </c>
      <c r="I622" s="13">
        <f t="shared" si="367"/>
        <v>134316.10999999999</v>
      </c>
    </row>
    <row r="623" spans="1:9" ht="18" x14ac:dyDescent="0.25">
      <c r="A623" s="19">
        <f t="shared" si="360"/>
        <v>612</v>
      </c>
      <c r="B623" s="20" t="s">
        <v>542</v>
      </c>
      <c r="C623" s="21" t="s">
        <v>14</v>
      </c>
      <c r="D623" s="21" t="s">
        <v>543</v>
      </c>
      <c r="E623" s="21"/>
      <c r="F623" s="21"/>
      <c r="G623" s="13">
        <f>SUM(G624+G634+G640)</f>
        <v>87345.05</v>
      </c>
      <c r="H623" s="13">
        <f t="shared" ref="H623:I623" si="368">SUM(H624+H634+H640)</f>
        <v>82231.67</v>
      </c>
      <c r="I623" s="13">
        <f t="shared" si="368"/>
        <v>84496.24</v>
      </c>
    </row>
    <row r="624" spans="1:9" ht="74.25" customHeight="1" x14ac:dyDescent="0.25">
      <c r="A624" s="18">
        <f t="shared" si="360"/>
        <v>613</v>
      </c>
      <c r="B624" s="16" t="s">
        <v>440</v>
      </c>
      <c r="C624" s="17" t="s">
        <v>14</v>
      </c>
      <c r="D624" s="17" t="s">
        <v>543</v>
      </c>
      <c r="E624" s="17" t="s">
        <v>441</v>
      </c>
      <c r="F624" s="17"/>
      <c r="G624" s="14">
        <f>SUM(G625)</f>
        <v>86607.56</v>
      </c>
      <c r="H624" s="14">
        <f t="shared" ref="H624:I624" si="369">SUM(H625)</f>
        <v>82231.67</v>
      </c>
      <c r="I624" s="14">
        <f t="shared" si="369"/>
        <v>84496.24</v>
      </c>
    </row>
    <row r="625" spans="1:9" ht="57.75" customHeight="1" x14ac:dyDescent="0.25">
      <c r="A625" s="18">
        <f t="shared" si="360"/>
        <v>614</v>
      </c>
      <c r="B625" s="16" t="s">
        <v>544</v>
      </c>
      <c r="C625" s="17" t="s">
        <v>14</v>
      </c>
      <c r="D625" s="17" t="s">
        <v>543</v>
      </c>
      <c r="E625" s="17" t="s">
        <v>545</v>
      </c>
      <c r="F625" s="17"/>
      <c r="G625" s="14">
        <f>SUM(G626+G629+G632)</f>
        <v>86607.56</v>
      </c>
      <c r="H625" s="14">
        <f t="shared" ref="H625:I625" si="370">SUM(H626+H629+H632)</f>
        <v>82231.67</v>
      </c>
      <c r="I625" s="14">
        <f t="shared" si="370"/>
        <v>84496.24</v>
      </c>
    </row>
    <row r="626" spans="1:9" ht="90" x14ac:dyDescent="0.25">
      <c r="A626" s="18">
        <f t="shared" si="360"/>
        <v>615</v>
      </c>
      <c r="B626" s="16" t="s">
        <v>546</v>
      </c>
      <c r="C626" s="17" t="s">
        <v>14</v>
      </c>
      <c r="D626" s="17" t="s">
        <v>543</v>
      </c>
      <c r="E626" s="17" t="s">
        <v>547</v>
      </c>
      <c r="F626" s="17"/>
      <c r="G626" s="14">
        <f>SUM(G627:G628)</f>
        <v>74382.559999999998</v>
      </c>
      <c r="H626" s="14">
        <f t="shared" ref="H626:I626" si="371">SUM(H627:H628)</f>
        <v>82231.67</v>
      </c>
      <c r="I626" s="14">
        <f t="shared" si="371"/>
        <v>84496.24</v>
      </c>
    </row>
    <row r="627" spans="1:9" ht="36" x14ac:dyDescent="0.25">
      <c r="A627" s="18">
        <f t="shared" si="360"/>
        <v>616</v>
      </c>
      <c r="B627" s="16" t="s">
        <v>157</v>
      </c>
      <c r="C627" s="17" t="s">
        <v>14</v>
      </c>
      <c r="D627" s="17" t="s">
        <v>543</v>
      </c>
      <c r="E627" s="17" t="s">
        <v>547</v>
      </c>
      <c r="F627" s="17" t="s">
        <v>158</v>
      </c>
      <c r="G627" s="14">
        <v>19783.060000000001</v>
      </c>
      <c r="H627" s="14">
        <v>20808.77</v>
      </c>
      <c r="I627" s="14">
        <v>21437.34</v>
      </c>
    </row>
    <row r="628" spans="1:9" ht="36" x14ac:dyDescent="0.25">
      <c r="A628" s="18">
        <f t="shared" si="360"/>
        <v>617</v>
      </c>
      <c r="B628" s="16" t="s">
        <v>272</v>
      </c>
      <c r="C628" s="17" t="s">
        <v>14</v>
      </c>
      <c r="D628" s="17" t="s">
        <v>543</v>
      </c>
      <c r="E628" s="17" t="s">
        <v>547</v>
      </c>
      <c r="F628" s="17" t="s">
        <v>273</v>
      </c>
      <c r="G628" s="14">
        <f>59899.5-5300</f>
        <v>54599.5</v>
      </c>
      <c r="H628" s="14">
        <v>61422.9</v>
      </c>
      <c r="I628" s="14">
        <v>63058.9</v>
      </c>
    </row>
    <row r="629" spans="1:9" ht="90" x14ac:dyDescent="0.25">
      <c r="A629" s="18">
        <f t="shared" si="360"/>
        <v>618</v>
      </c>
      <c r="B629" s="16" t="s">
        <v>548</v>
      </c>
      <c r="C629" s="17" t="s">
        <v>14</v>
      </c>
      <c r="D629" s="17" t="s">
        <v>543</v>
      </c>
      <c r="E629" s="17" t="s">
        <v>549</v>
      </c>
      <c r="F629" s="17"/>
      <c r="G629" s="14">
        <f>SUM(G630:G631)</f>
        <v>11125</v>
      </c>
      <c r="H629" s="14">
        <f t="shared" ref="H629:I629" si="372">SUM(H630:H631)</f>
        <v>0</v>
      </c>
      <c r="I629" s="14">
        <f t="shared" si="372"/>
        <v>0</v>
      </c>
    </row>
    <row r="630" spans="1:9" ht="36" x14ac:dyDescent="0.25">
      <c r="A630" s="18">
        <f t="shared" si="360"/>
        <v>619</v>
      </c>
      <c r="B630" s="16" t="s">
        <v>157</v>
      </c>
      <c r="C630" s="17" t="s">
        <v>14</v>
      </c>
      <c r="D630" s="17" t="s">
        <v>543</v>
      </c>
      <c r="E630" s="17" t="s">
        <v>549</v>
      </c>
      <c r="F630" s="17" t="s">
        <v>158</v>
      </c>
      <c r="G630" s="14">
        <f>500-250</f>
        <v>250</v>
      </c>
      <c r="H630" s="14">
        <v>0</v>
      </c>
      <c r="I630" s="14">
        <v>0</v>
      </c>
    </row>
    <row r="631" spans="1:9" ht="36" x14ac:dyDescent="0.25">
      <c r="A631" s="18">
        <f t="shared" si="360"/>
        <v>620</v>
      </c>
      <c r="B631" s="16" t="s">
        <v>272</v>
      </c>
      <c r="C631" s="17" t="s">
        <v>14</v>
      </c>
      <c r="D631" s="17" t="s">
        <v>543</v>
      </c>
      <c r="E631" s="17" t="s">
        <v>549</v>
      </c>
      <c r="F631" s="17" t="s">
        <v>273</v>
      </c>
      <c r="G631" s="14">
        <f>10475+400</f>
        <v>10875</v>
      </c>
      <c r="H631" s="14">
        <v>0</v>
      </c>
      <c r="I631" s="14">
        <v>0</v>
      </c>
    </row>
    <row r="632" spans="1:9" ht="36" x14ac:dyDescent="0.25">
      <c r="A632" s="18">
        <f t="shared" si="360"/>
        <v>621</v>
      </c>
      <c r="B632" s="16" t="s">
        <v>550</v>
      </c>
      <c r="C632" s="17" t="s">
        <v>14</v>
      </c>
      <c r="D632" s="17" t="s">
        <v>543</v>
      </c>
      <c r="E632" s="17" t="s">
        <v>551</v>
      </c>
      <c r="F632" s="17"/>
      <c r="G632" s="14">
        <f>SUM(G633)</f>
        <v>1100</v>
      </c>
      <c r="H632" s="14">
        <f t="shared" ref="H632:I632" si="373">SUM(H633)</f>
        <v>0</v>
      </c>
      <c r="I632" s="14">
        <f t="shared" si="373"/>
        <v>0</v>
      </c>
    </row>
    <row r="633" spans="1:9" ht="36" x14ac:dyDescent="0.25">
      <c r="A633" s="18">
        <f t="shared" si="360"/>
        <v>622</v>
      </c>
      <c r="B633" s="16" t="s">
        <v>272</v>
      </c>
      <c r="C633" s="17" t="s">
        <v>14</v>
      </c>
      <c r="D633" s="17" t="s">
        <v>543</v>
      </c>
      <c r="E633" s="17" t="s">
        <v>551</v>
      </c>
      <c r="F633" s="17" t="s">
        <v>273</v>
      </c>
      <c r="G633" s="14">
        <f>1400-300</f>
        <v>1100</v>
      </c>
      <c r="H633" s="14">
        <v>0</v>
      </c>
      <c r="I633" s="14">
        <v>0</v>
      </c>
    </row>
    <row r="634" spans="1:9" ht="75.75" customHeight="1" x14ac:dyDescent="0.25">
      <c r="A634" s="18">
        <f t="shared" si="360"/>
        <v>623</v>
      </c>
      <c r="B634" s="16" t="s">
        <v>171</v>
      </c>
      <c r="C634" s="17" t="s">
        <v>14</v>
      </c>
      <c r="D634" s="17" t="s">
        <v>543</v>
      </c>
      <c r="E634" s="27" t="s">
        <v>172</v>
      </c>
      <c r="F634" s="17"/>
      <c r="G634" s="14">
        <f>SUM(G635)</f>
        <v>220</v>
      </c>
      <c r="H634" s="14">
        <f t="shared" ref="H634:I638" si="374">SUM(H635)</f>
        <v>0</v>
      </c>
      <c r="I634" s="14">
        <f t="shared" si="374"/>
        <v>0</v>
      </c>
    </row>
    <row r="635" spans="1:9" ht="90" x14ac:dyDescent="0.25">
      <c r="A635" s="18">
        <f t="shared" si="360"/>
        <v>624</v>
      </c>
      <c r="B635" s="16" t="s">
        <v>766</v>
      </c>
      <c r="C635" s="17" t="s">
        <v>14</v>
      </c>
      <c r="D635" s="17" t="s">
        <v>543</v>
      </c>
      <c r="E635" s="27" t="s">
        <v>269</v>
      </c>
      <c r="F635" s="17"/>
      <c r="G635" s="14">
        <f>SUM(G638+G636)</f>
        <v>220</v>
      </c>
      <c r="H635" s="14">
        <f t="shared" ref="H635:I635" si="375">SUM(H638+H636)</f>
        <v>0</v>
      </c>
      <c r="I635" s="14">
        <f t="shared" si="375"/>
        <v>0</v>
      </c>
    </row>
    <row r="636" spans="1:9" ht="90" x14ac:dyDescent="0.25">
      <c r="A636" s="18">
        <f t="shared" si="360"/>
        <v>625</v>
      </c>
      <c r="B636" s="16" t="s">
        <v>841</v>
      </c>
      <c r="C636" s="17" t="s">
        <v>14</v>
      </c>
      <c r="D636" s="17" t="s">
        <v>543</v>
      </c>
      <c r="E636" s="27" t="s">
        <v>840</v>
      </c>
      <c r="F636" s="17"/>
      <c r="G636" s="14">
        <f>SUM(G637)</f>
        <v>78</v>
      </c>
      <c r="H636" s="14">
        <f t="shared" ref="H636:I636" si="376">SUM(H637)</f>
        <v>0</v>
      </c>
      <c r="I636" s="14">
        <f t="shared" si="376"/>
        <v>0</v>
      </c>
    </row>
    <row r="637" spans="1:9" ht="36" x14ac:dyDescent="0.25">
      <c r="A637" s="18">
        <f t="shared" si="360"/>
        <v>626</v>
      </c>
      <c r="B637" s="16" t="s">
        <v>272</v>
      </c>
      <c r="C637" s="17" t="s">
        <v>14</v>
      </c>
      <c r="D637" s="17" t="s">
        <v>543</v>
      </c>
      <c r="E637" s="27" t="s">
        <v>840</v>
      </c>
      <c r="F637" s="17">
        <v>620</v>
      </c>
      <c r="G637" s="14">
        <v>78</v>
      </c>
      <c r="H637" s="14">
        <v>0</v>
      </c>
      <c r="I637" s="14">
        <v>0</v>
      </c>
    </row>
    <row r="638" spans="1:9" ht="108" x14ac:dyDescent="0.25">
      <c r="A638" s="18">
        <f t="shared" si="360"/>
        <v>627</v>
      </c>
      <c r="B638" s="16" t="s">
        <v>842</v>
      </c>
      <c r="C638" s="17" t="s">
        <v>14</v>
      </c>
      <c r="D638" s="17" t="s">
        <v>543</v>
      </c>
      <c r="E638" s="27" t="s">
        <v>271</v>
      </c>
      <c r="F638" s="17"/>
      <c r="G638" s="14">
        <f>SUM(G639)</f>
        <v>142</v>
      </c>
      <c r="H638" s="14">
        <f t="shared" si="374"/>
        <v>0</v>
      </c>
      <c r="I638" s="14">
        <f t="shared" si="374"/>
        <v>0</v>
      </c>
    </row>
    <row r="639" spans="1:9" ht="36" x14ac:dyDescent="0.25">
      <c r="A639" s="18">
        <f t="shared" si="360"/>
        <v>628</v>
      </c>
      <c r="B639" s="16" t="s">
        <v>272</v>
      </c>
      <c r="C639" s="17" t="s">
        <v>14</v>
      </c>
      <c r="D639" s="17" t="s">
        <v>543</v>
      </c>
      <c r="E639" s="27" t="s">
        <v>271</v>
      </c>
      <c r="F639" s="17">
        <v>620</v>
      </c>
      <c r="G639" s="14">
        <v>142</v>
      </c>
      <c r="H639" s="14">
        <v>0</v>
      </c>
      <c r="I639" s="14">
        <v>0</v>
      </c>
    </row>
    <row r="640" spans="1:9" ht="18" x14ac:dyDescent="0.25">
      <c r="A640" s="18">
        <f t="shared" si="360"/>
        <v>629</v>
      </c>
      <c r="B640" s="16" t="s">
        <v>811</v>
      </c>
      <c r="C640" s="17" t="s">
        <v>14</v>
      </c>
      <c r="D640" s="17" t="s">
        <v>543</v>
      </c>
      <c r="E640" s="27" t="s">
        <v>45</v>
      </c>
      <c r="F640" s="17"/>
      <c r="G640" s="14">
        <f>SUM(G641)</f>
        <v>517.49</v>
      </c>
      <c r="H640" s="14">
        <f t="shared" ref="H640:I640" si="377">SUM(H641)</f>
        <v>0</v>
      </c>
      <c r="I640" s="14">
        <f t="shared" si="377"/>
        <v>0</v>
      </c>
    </row>
    <row r="641" spans="1:9" ht="144" x14ac:dyDescent="0.25">
      <c r="A641" s="18">
        <f t="shared" si="360"/>
        <v>630</v>
      </c>
      <c r="B641" s="16" t="s">
        <v>889</v>
      </c>
      <c r="C641" s="17" t="s">
        <v>14</v>
      </c>
      <c r="D641" s="17" t="s">
        <v>543</v>
      </c>
      <c r="E641" s="27" t="s">
        <v>882</v>
      </c>
      <c r="F641" s="17"/>
      <c r="G641" s="14">
        <f>SUM(G642:G643)</f>
        <v>517.49</v>
      </c>
      <c r="H641" s="14">
        <f t="shared" ref="H641:I641" si="378">SUM(H642:H643)</f>
        <v>0</v>
      </c>
      <c r="I641" s="14">
        <f t="shared" si="378"/>
        <v>0</v>
      </c>
    </row>
    <row r="642" spans="1:9" ht="36" x14ac:dyDescent="0.25">
      <c r="A642" s="18">
        <f t="shared" si="360"/>
        <v>631</v>
      </c>
      <c r="B642" s="16" t="s">
        <v>157</v>
      </c>
      <c r="C642" s="17" t="s">
        <v>14</v>
      </c>
      <c r="D642" s="17" t="s">
        <v>543</v>
      </c>
      <c r="E642" s="27" t="s">
        <v>882</v>
      </c>
      <c r="F642" s="17">
        <v>610</v>
      </c>
      <c r="G642" s="14">
        <v>92.21</v>
      </c>
      <c r="H642" s="14">
        <v>0</v>
      </c>
      <c r="I642" s="14">
        <v>0</v>
      </c>
    </row>
    <row r="643" spans="1:9" ht="36" x14ac:dyDescent="0.25">
      <c r="A643" s="18">
        <f t="shared" si="360"/>
        <v>632</v>
      </c>
      <c r="B643" s="16" t="s">
        <v>272</v>
      </c>
      <c r="C643" s="17" t="s">
        <v>14</v>
      </c>
      <c r="D643" s="17" t="s">
        <v>543</v>
      </c>
      <c r="E643" s="27" t="s">
        <v>882</v>
      </c>
      <c r="F643" s="17">
        <v>620</v>
      </c>
      <c r="G643" s="14">
        <v>425.28</v>
      </c>
      <c r="H643" s="14">
        <v>0</v>
      </c>
      <c r="I643" s="14">
        <v>0</v>
      </c>
    </row>
    <row r="644" spans="1:9" ht="18" x14ac:dyDescent="0.25">
      <c r="A644" s="19">
        <f t="shared" si="360"/>
        <v>633</v>
      </c>
      <c r="B644" s="20" t="s">
        <v>552</v>
      </c>
      <c r="C644" s="21" t="s">
        <v>14</v>
      </c>
      <c r="D644" s="21" t="s">
        <v>553</v>
      </c>
      <c r="E644" s="21"/>
      <c r="F644" s="21"/>
      <c r="G644" s="13">
        <f>SUM(G645+G657)</f>
        <v>27998.52</v>
      </c>
      <c r="H644" s="13">
        <f t="shared" ref="H644:I644" si="379">SUM(H645+H657)</f>
        <v>28565.439999999999</v>
      </c>
      <c r="I644" s="13">
        <f t="shared" si="379"/>
        <v>29458.87</v>
      </c>
    </row>
    <row r="645" spans="1:9" ht="73.5" customHeight="1" x14ac:dyDescent="0.25">
      <c r="A645" s="18">
        <f t="shared" si="360"/>
        <v>634</v>
      </c>
      <c r="B645" s="16" t="s">
        <v>440</v>
      </c>
      <c r="C645" s="17" t="s">
        <v>14</v>
      </c>
      <c r="D645" s="17" t="s">
        <v>553</v>
      </c>
      <c r="E645" s="17" t="s">
        <v>441</v>
      </c>
      <c r="F645" s="17"/>
      <c r="G645" s="14">
        <f>SUM(G646)</f>
        <v>27772.920000000002</v>
      </c>
      <c r="H645" s="14">
        <f t="shared" ref="H645:I645" si="380">SUM(H646)</f>
        <v>28565.439999999999</v>
      </c>
      <c r="I645" s="14">
        <f t="shared" si="380"/>
        <v>29458.87</v>
      </c>
    </row>
    <row r="646" spans="1:9" ht="72" x14ac:dyDescent="0.25">
      <c r="A646" s="18">
        <f t="shared" si="360"/>
        <v>635</v>
      </c>
      <c r="B646" s="16" t="s">
        <v>554</v>
      </c>
      <c r="C646" s="17" t="s">
        <v>14</v>
      </c>
      <c r="D646" s="17" t="s">
        <v>553</v>
      </c>
      <c r="E646" s="17" t="s">
        <v>555</v>
      </c>
      <c r="F646" s="17"/>
      <c r="G646" s="14">
        <f>SUM(G647+G649+G651+G653+G655)</f>
        <v>27772.920000000002</v>
      </c>
      <c r="H646" s="14">
        <f t="shared" ref="H646:I646" si="381">SUM(H647+H649+H651+H653+H655)</f>
        <v>28565.439999999999</v>
      </c>
      <c r="I646" s="14">
        <f t="shared" si="381"/>
        <v>29458.87</v>
      </c>
    </row>
    <row r="647" spans="1:9" ht="90" x14ac:dyDescent="0.25">
      <c r="A647" s="18">
        <f t="shared" si="360"/>
        <v>636</v>
      </c>
      <c r="B647" s="16" t="s">
        <v>556</v>
      </c>
      <c r="C647" s="17" t="s">
        <v>14</v>
      </c>
      <c r="D647" s="17" t="s">
        <v>553</v>
      </c>
      <c r="E647" s="17" t="s">
        <v>557</v>
      </c>
      <c r="F647" s="17"/>
      <c r="G647" s="14">
        <f>SUM(G648)</f>
        <v>623</v>
      </c>
      <c r="H647" s="14">
        <f t="shared" ref="H647:I647" si="382">SUM(H648)</f>
        <v>823</v>
      </c>
      <c r="I647" s="14">
        <f t="shared" si="382"/>
        <v>823</v>
      </c>
    </row>
    <row r="648" spans="1:9" ht="36" x14ac:dyDescent="0.25">
      <c r="A648" s="18">
        <f t="shared" si="360"/>
        <v>637</v>
      </c>
      <c r="B648" s="16" t="s">
        <v>157</v>
      </c>
      <c r="C648" s="17" t="s">
        <v>14</v>
      </c>
      <c r="D648" s="17" t="s">
        <v>553</v>
      </c>
      <c r="E648" s="17" t="s">
        <v>557</v>
      </c>
      <c r="F648" s="17" t="s">
        <v>158</v>
      </c>
      <c r="G648" s="14">
        <v>623</v>
      </c>
      <c r="H648" s="14">
        <v>823</v>
      </c>
      <c r="I648" s="14">
        <v>823</v>
      </c>
    </row>
    <row r="649" spans="1:9" ht="54" x14ac:dyDescent="0.25">
      <c r="A649" s="18">
        <f t="shared" si="360"/>
        <v>638</v>
      </c>
      <c r="B649" s="16" t="s">
        <v>558</v>
      </c>
      <c r="C649" s="17" t="s">
        <v>14</v>
      </c>
      <c r="D649" s="17" t="s">
        <v>553</v>
      </c>
      <c r="E649" s="17" t="s">
        <v>559</v>
      </c>
      <c r="F649" s="17"/>
      <c r="G649" s="14">
        <f>SUM(G650)</f>
        <v>2090</v>
      </c>
      <c r="H649" s="14">
        <f t="shared" ref="H649:I649" si="383">SUM(H650)</f>
        <v>1890</v>
      </c>
      <c r="I649" s="14">
        <f t="shared" si="383"/>
        <v>1890</v>
      </c>
    </row>
    <row r="650" spans="1:9" ht="36" x14ac:dyDescent="0.25">
      <c r="A650" s="18">
        <f t="shared" si="360"/>
        <v>639</v>
      </c>
      <c r="B650" s="16" t="s">
        <v>157</v>
      </c>
      <c r="C650" s="17" t="s">
        <v>14</v>
      </c>
      <c r="D650" s="17" t="s">
        <v>553</v>
      </c>
      <c r="E650" s="17" t="s">
        <v>559</v>
      </c>
      <c r="F650" s="17" t="s">
        <v>158</v>
      </c>
      <c r="G650" s="14">
        <v>2090</v>
      </c>
      <c r="H650" s="14">
        <v>1890</v>
      </c>
      <c r="I650" s="14">
        <v>1890</v>
      </c>
    </row>
    <row r="651" spans="1:9" ht="54" x14ac:dyDescent="0.25">
      <c r="A651" s="18">
        <f t="shared" si="360"/>
        <v>640</v>
      </c>
      <c r="B651" s="16" t="s">
        <v>560</v>
      </c>
      <c r="C651" s="17" t="s">
        <v>14</v>
      </c>
      <c r="D651" s="17" t="s">
        <v>553</v>
      </c>
      <c r="E651" s="17" t="s">
        <v>561</v>
      </c>
      <c r="F651" s="17"/>
      <c r="G651" s="14">
        <f>SUM(G652)</f>
        <v>24885.02</v>
      </c>
      <c r="H651" s="14">
        <f t="shared" ref="H651:I651" si="384">SUM(H652)</f>
        <v>25852.44</v>
      </c>
      <c r="I651" s="14">
        <f t="shared" si="384"/>
        <v>26745.87</v>
      </c>
    </row>
    <row r="652" spans="1:9" ht="36" x14ac:dyDescent="0.25">
      <c r="A652" s="18">
        <f t="shared" si="360"/>
        <v>641</v>
      </c>
      <c r="B652" s="16" t="s">
        <v>157</v>
      </c>
      <c r="C652" s="17" t="s">
        <v>14</v>
      </c>
      <c r="D652" s="17" t="s">
        <v>553</v>
      </c>
      <c r="E652" s="17" t="s">
        <v>561</v>
      </c>
      <c r="F652" s="17" t="s">
        <v>158</v>
      </c>
      <c r="G652" s="14">
        <v>24885.02</v>
      </c>
      <c r="H652" s="14">
        <v>25852.44</v>
      </c>
      <c r="I652" s="14">
        <v>26745.87</v>
      </c>
    </row>
    <row r="653" spans="1:9" ht="75.75" customHeight="1" x14ac:dyDescent="0.25">
      <c r="A653" s="18">
        <f t="shared" si="360"/>
        <v>642</v>
      </c>
      <c r="B653" s="16" t="s">
        <v>562</v>
      </c>
      <c r="C653" s="17" t="s">
        <v>14</v>
      </c>
      <c r="D653" s="17" t="s">
        <v>553</v>
      </c>
      <c r="E653" s="17" t="s">
        <v>563</v>
      </c>
      <c r="F653" s="17"/>
      <c r="G653" s="14">
        <f>SUM(G654)</f>
        <v>122.4</v>
      </c>
      <c r="H653" s="14">
        <f t="shared" ref="H653:I653" si="385">SUM(H654)</f>
        <v>0</v>
      </c>
      <c r="I653" s="14">
        <f t="shared" si="385"/>
        <v>0</v>
      </c>
    </row>
    <row r="654" spans="1:9" ht="36" x14ac:dyDescent="0.25">
      <c r="A654" s="18">
        <f t="shared" si="360"/>
        <v>643</v>
      </c>
      <c r="B654" s="16" t="s">
        <v>157</v>
      </c>
      <c r="C654" s="17" t="s">
        <v>14</v>
      </c>
      <c r="D654" s="17" t="s">
        <v>553</v>
      </c>
      <c r="E654" s="17" t="s">
        <v>563</v>
      </c>
      <c r="F654" s="17" t="s">
        <v>158</v>
      </c>
      <c r="G654" s="14">
        <v>122.4</v>
      </c>
      <c r="H654" s="14">
        <v>0</v>
      </c>
      <c r="I654" s="14">
        <v>0</v>
      </c>
    </row>
    <row r="655" spans="1:9" ht="75.75" customHeight="1" x14ac:dyDescent="0.25">
      <c r="A655" s="18">
        <f t="shared" si="360"/>
        <v>644</v>
      </c>
      <c r="B655" s="16" t="s">
        <v>562</v>
      </c>
      <c r="C655" s="17" t="s">
        <v>14</v>
      </c>
      <c r="D655" s="17" t="s">
        <v>553</v>
      </c>
      <c r="E655" s="17" t="s">
        <v>564</v>
      </c>
      <c r="F655" s="17"/>
      <c r="G655" s="14">
        <f>SUM(G656)</f>
        <v>52.5</v>
      </c>
      <c r="H655" s="14">
        <f t="shared" ref="H655:I655" si="386">SUM(H656)</f>
        <v>0</v>
      </c>
      <c r="I655" s="14">
        <f t="shared" si="386"/>
        <v>0</v>
      </c>
    </row>
    <row r="656" spans="1:9" ht="36" x14ac:dyDescent="0.25">
      <c r="A656" s="18">
        <f t="shared" si="360"/>
        <v>645</v>
      </c>
      <c r="B656" s="16" t="s">
        <v>157</v>
      </c>
      <c r="C656" s="17" t="s">
        <v>14</v>
      </c>
      <c r="D656" s="17" t="s">
        <v>553</v>
      </c>
      <c r="E656" s="17" t="s">
        <v>564</v>
      </c>
      <c r="F656" s="17" t="s">
        <v>158</v>
      </c>
      <c r="G656" s="14">
        <v>52.5</v>
      </c>
      <c r="H656" s="14">
        <v>0</v>
      </c>
      <c r="I656" s="14">
        <v>0</v>
      </c>
    </row>
    <row r="657" spans="1:9" ht="18" x14ac:dyDescent="0.25">
      <c r="A657" s="18">
        <f t="shared" si="360"/>
        <v>646</v>
      </c>
      <c r="B657" s="16" t="s">
        <v>811</v>
      </c>
      <c r="C657" s="17" t="s">
        <v>14</v>
      </c>
      <c r="D657" s="17" t="s">
        <v>553</v>
      </c>
      <c r="E657" s="27" t="s">
        <v>45</v>
      </c>
      <c r="F657" s="17"/>
      <c r="G657" s="14">
        <f>SUM(G658)</f>
        <v>225.6</v>
      </c>
      <c r="H657" s="14">
        <f t="shared" ref="H657:I657" si="387">SUM(H658)</f>
        <v>0</v>
      </c>
      <c r="I657" s="14">
        <f t="shared" si="387"/>
        <v>0</v>
      </c>
    </row>
    <row r="658" spans="1:9" ht="144" x14ac:dyDescent="0.25">
      <c r="A658" s="18">
        <f t="shared" si="360"/>
        <v>647</v>
      </c>
      <c r="B658" s="16" t="s">
        <v>889</v>
      </c>
      <c r="C658" s="17" t="s">
        <v>14</v>
      </c>
      <c r="D658" s="17" t="s">
        <v>553</v>
      </c>
      <c r="E658" s="27" t="s">
        <v>882</v>
      </c>
      <c r="F658" s="17"/>
      <c r="G658" s="14">
        <f>SUM(G659)</f>
        <v>225.6</v>
      </c>
      <c r="H658" s="14">
        <f t="shared" ref="H658:I658" si="388">SUM(H659)</f>
        <v>0</v>
      </c>
      <c r="I658" s="14">
        <f t="shared" si="388"/>
        <v>0</v>
      </c>
    </row>
    <row r="659" spans="1:9" ht="36" x14ac:dyDescent="0.25">
      <c r="A659" s="18">
        <f t="shared" si="360"/>
        <v>648</v>
      </c>
      <c r="B659" s="16" t="s">
        <v>157</v>
      </c>
      <c r="C659" s="17" t="s">
        <v>14</v>
      </c>
      <c r="D659" s="17" t="s">
        <v>553</v>
      </c>
      <c r="E659" s="27" t="s">
        <v>882</v>
      </c>
      <c r="F659" s="17">
        <v>610</v>
      </c>
      <c r="G659" s="14">
        <v>225.6</v>
      </c>
      <c r="H659" s="14">
        <v>0</v>
      </c>
      <c r="I659" s="14">
        <v>0</v>
      </c>
    </row>
    <row r="660" spans="1:9" ht="18" x14ac:dyDescent="0.25">
      <c r="A660" s="19">
        <f t="shared" si="360"/>
        <v>649</v>
      </c>
      <c r="B660" s="20" t="s">
        <v>565</v>
      </c>
      <c r="C660" s="21" t="s">
        <v>14</v>
      </c>
      <c r="D660" s="21" t="s">
        <v>566</v>
      </c>
      <c r="E660" s="21"/>
      <c r="F660" s="21"/>
      <c r="G660" s="13">
        <f>SUM(G661)</f>
        <v>18621.599999999999</v>
      </c>
      <c r="H660" s="13">
        <f t="shared" ref="H660:I660" si="389">SUM(H661)</f>
        <v>19997.599999999999</v>
      </c>
      <c r="I660" s="13">
        <f t="shared" si="389"/>
        <v>20361</v>
      </c>
    </row>
    <row r="661" spans="1:9" ht="77.25" customHeight="1" x14ac:dyDescent="0.25">
      <c r="A661" s="18">
        <f t="shared" si="360"/>
        <v>650</v>
      </c>
      <c r="B661" s="16" t="s">
        <v>440</v>
      </c>
      <c r="C661" s="17" t="s">
        <v>14</v>
      </c>
      <c r="D661" s="17" t="s">
        <v>566</v>
      </c>
      <c r="E661" s="17" t="s">
        <v>441</v>
      </c>
      <c r="F661" s="17"/>
      <c r="G661" s="14">
        <f>SUM(G662)</f>
        <v>18621.599999999999</v>
      </c>
      <c r="H661" s="14">
        <f t="shared" ref="H661:I661" si="390">SUM(H662)</f>
        <v>19997.599999999999</v>
      </c>
      <c r="I661" s="14">
        <f t="shared" si="390"/>
        <v>20361</v>
      </c>
    </row>
    <row r="662" spans="1:9" ht="53.25" customHeight="1" x14ac:dyDescent="0.25">
      <c r="A662" s="18">
        <f t="shared" si="360"/>
        <v>651</v>
      </c>
      <c r="B662" s="16" t="s">
        <v>544</v>
      </c>
      <c r="C662" s="17" t="s">
        <v>14</v>
      </c>
      <c r="D662" s="17" t="s">
        <v>566</v>
      </c>
      <c r="E662" s="17" t="s">
        <v>545</v>
      </c>
      <c r="F662" s="17"/>
      <c r="G662" s="14">
        <f>SUM(G663)</f>
        <v>18621.599999999999</v>
      </c>
      <c r="H662" s="14">
        <f t="shared" ref="H662:I662" si="391">SUM(H663)</f>
        <v>19997.599999999999</v>
      </c>
      <c r="I662" s="14">
        <f t="shared" si="391"/>
        <v>20361</v>
      </c>
    </row>
    <row r="663" spans="1:9" ht="90" x14ac:dyDescent="0.25">
      <c r="A663" s="18">
        <f t="shared" si="360"/>
        <v>652</v>
      </c>
      <c r="B663" s="16" t="s">
        <v>546</v>
      </c>
      <c r="C663" s="17" t="s">
        <v>14</v>
      </c>
      <c r="D663" s="17" t="s">
        <v>566</v>
      </c>
      <c r="E663" s="17" t="s">
        <v>547</v>
      </c>
      <c r="F663" s="17"/>
      <c r="G663" s="14">
        <f>SUM(G664)</f>
        <v>18621.599999999999</v>
      </c>
      <c r="H663" s="14">
        <f t="shared" ref="H663:I663" si="392">SUM(H664)</f>
        <v>19997.599999999999</v>
      </c>
      <c r="I663" s="14">
        <f t="shared" si="392"/>
        <v>20361</v>
      </c>
    </row>
    <row r="664" spans="1:9" ht="36" x14ac:dyDescent="0.25">
      <c r="A664" s="18">
        <f t="shared" si="360"/>
        <v>653</v>
      </c>
      <c r="B664" s="16" t="s">
        <v>272</v>
      </c>
      <c r="C664" s="17" t="s">
        <v>14</v>
      </c>
      <c r="D664" s="17" t="s">
        <v>566</v>
      </c>
      <c r="E664" s="17" t="s">
        <v>547</v>
      </c>
      <c r="F664" s="17" t="s">
        <v>273</v>
      </c>
      <c r="G664" s="14">
        <v>18621.599999999999</v>
      </c>
      <c r="H664" s="14">
        <v>19997.599999999999</v>
      </c>
      <c r="I664" s="14">
        <v>20361</v>
      </c>
    </row>
    <row r="665" spans="1:9" ht="36" x14ac:dyDescent="0.25">
      <c r="A665" s="19">
        <f t="shared" si="360"/>
        <v>654</v>
      </c>
      <c r="B665" s="20" t="s">
        <v>567</v>
      </c>
      <c r="C665" s="21" t="s">
        <v>14</v>
      </c>
      <c r="D665" s="21" t="s">
        <v>568</v>
      </c>
      <c r="E665" s="21"/>
      <c r="F665" s="21"/>
      <c r="G665" s="13">
        <f>SUM(G666+G673+G678)</f>
        <v>300</v>
      </c>
      <c r="H665" s="13">
        <f t="shared" ref="H665:I665" si="393">SUM(H666+H673+H678)</f>
        <v>300</v>
      </c>
      <c r="I665" s="13">
        <f t="shared" si="393"/>
        <v>300</v>
      </c>
    </row>
    <row r="666" spans="1:9" ht="18" x14ac:dyDescent="0.25">
      <c r="A666" s="19">
        <f t="shared" si="360"/>
        <v>655</v>
      </c>
      <c r="B666" s="20" t="s">
        <v>569</v>
      </c>
      <c r="C666" s="21" t="s">
        <v>14</v>
      </c>
      <c r="D666" s="21" t="s">
        <v>570</v>
      </c>
      <c r="E666" s="21"/>
      <c r="F666" s="21"/>
      <c r="G666" s="13">
        <f>SUM(G667)</f>
        <v>0</v>
      </c>
      <c r="H666" s="13">
        <f t="shared" ref="H666:I666" si="394">SUM(H667)</f>
        <v>0</v>
      </c>
      <c r="I666" s="13">
        <f t="shared" si="394"/>
        <v>0</v>
      </c>
    </row>
    <row r="667" spans="1:9" ht="72" x14ac:dyDescent="0.25">
      <c r="A667" s="18">
        <f t="shared" si="360"/>
        <v>656</v>
      </c>
      <c r="B667" s="16" t="s">
        <v>80</v>
      </c>
      <c r="C667" s="17" t="s">
        <v>14</v>
      </c>
      <c r="D667" s="17" t="s">
        <v>570</v>
      </c>
      <c r="E667" s="17" t="s">
        <v>81</v>
      </c>
      <c r="F667" s="17"/>
      <c r="G667" s="14">
        <f>SUM(G668)</f>
        <v>0</v>
      </c>
      <c r="H667" s="14">
        <f t="shared" ref="H667:I667" si="395">SUM(H668)</f>
        <v>0</v>
      </c>
      <c r="I667" s="14">
        <f t="shared" si="395"/>
        <v>0</v>
      </c>
    </row>
    <row r="668" spans="1:9" ht="54" x14ac:dyDescent="0.25">
      <c r="A668" s="18">
        <f t="shared" si="360"/>
        <v>657</v>
      </c>
      <c r="B668" s="16" t="s">
        <v>231</v>
      </c>
      <c r="C668" s="17" t="s">
        <v>14</v>
      </c>
      <c r="D668" s="17" t="s">
        <v>570</v>
      </c>
      <c r="E668" s="17" t="s">
        <v>232</v>
      </c>
      <c r="F668" s="17"/>
      <c r="G668" s="14">
        <f>SUM(G669+G671)</f>
        <v>0</v>
      </c>
      <c r="H668" s="14">
        <f t="shared" ref="H668:I668" si="396">SUM(H669+H671)</f>
        <v>0</v>
      </c>
      <c r="I668" s="14">
        <f t="shared" si="396"/>
        <v>0</v>
      </c>
    </row>
    <row r="669" spans="1:9" ht="72" x14ac:dyDescent="0.25">
      <c r="A669" s="18">
        <f t="shared" si="360"/>
        <v>658</v>
      </c>
      <c r="B669" s="16" t="s">
        <v>235</v>
      </c>
      <c r="C669" s="17" t="s">
        <v>14</v>
      </c>
      <c r="D669" s="17" t="s">
        <v>570</v>
      </c>
      <c r="E669" s="17" t="s">
        <v>236</v>
      </c>
      <c r="F669" s="17"/>
      <c r="G669" s="14">
        <f>SUM(G670)</f>
        <v>0</v>
      </c>
      <c r="H669" s="14">
        <f t="shared" ref="H669:I669" si="397">SUM(H670)</f>
        <v>0</v>
      </c>
      <c r="I669" s="14">
        <f t="shared" si="397"/>
        <v>0</v>
      </c>
    </row>
    <row r="670" spans="1:9" ht="36" x14ac:dyDescent="0.25">
      <c r="A670" s="18">
        <f t="shared" si="360"/>
        <v>659</v>
      </c>
      <c r="B670" s="16" t="s">
        <v>272</v>
      </c>
      <c r="C670" s="17" t="s">
        <v>14</v>
      </c>
      <c r="D670" s="17" t="s">
        <v>570</v>
      </c>
      <c r="E670" s="17" t="s">
        <v>236</v>
      </c>
      <c r="F670" s="17" t="s">
        <v>273</v>
      </c>
      <c r="G670" s="14">
        <f>500-500</f>
        <v>0</v>
      </c>
      <c r="H670" s="14">
        <v>0</v>
      </c>
      <c r="I670" s="14">
        <v>0</v>
      </c>
    </row>
    <row r="671" spans="1:9" ht="57.75" customHeight="1" x14ac:dyDescent="0.25">
      <c r="A671" s="18">
        <f t="shared" si="360"/>
        <v>660</v>
      </c>
      <c r="B671" s="16" t="s">
        <v>571</v>
      </c>
      <c r="C671" s="17" t="s">
        <v>14</v>
      </c>
      <c r="D671" s="17" t="s">
        <v>570</v>
      </c>
      <c r="E671" s="17" t="s">
        <v>572</v>
      </c>
      <c r="F671" s="17"/>
      <c r="G671" s="14">
        <f>SUM(G672)</f>
        <v>0</v>
      </c>
      <c r="H671" s="14">
        <f t="shared" ref="H671:I671" si="398">SUM(H672)</f>
        <v>0</v>
      </c>
      <c r="I671" s="14">
        <f t="shared" si="398"/>
        <v>0</v>
      </c>
    </row>
    <row r="672" spans="1:9" ht="36" x14ac:dyDescent="0.25">
      <c r="A672" s="18">
        <f t="shared" si="360"/>
        <v>661</v>
      </c>
      <c r="B672" s="16" t="s">
        <v>272</v>
      </c>
      <c r="C672" s="17" t="s">
        <v>14</v>
      </c>
      <c r="D672" s="17" t="s">
        <v>570</v>
      </c>
      <c r="E672" s="17" t="s">
        <v>572</v>
      </c>
      <c r="F672" s="17" t="s">
        <v>273</v>
      </c>
      <c r="G672" s="14">
        <f>3248.17-3248.17</f>
        <v>0</v>
      </c>
      <c r="H672" s="14">
        <f>3349.95-3349.95</f>
        <v>0</v>
      </c>
      <c r="I672" s="14">
        <f>3466.89-3466.89</f>
        <v>0</v>
      </c>
    </row>
    <row r="673" spans="1:9" ht="36" x14ac:dyDescent="0.25">
      <c r="A673" s="19">
        <f t="shared" si="360"/>
        <v>662</v>
      </c>
      <c r="B673" s="20" t="s">
        <v>573</v>
      </c>
      <c r="C673" s="21" t="s">
        <v>14</v>
      </c>
      <c r="D673" s="21" t="s">
        <v>574</v>
      </c>
      <c r="E673" s="21"/>
      <c r="F673" s="21"/>
      <c r="G673" s="13">
        <f>SUM(G674)</f>
        <v>0</v>
      </c>
      <c r="H673" s="13">
        <f t="shared" ref="H673:I673" si="399">SUM(H674)</f>
        <v>0</v>
      </c>
      <c r="I673" s="13">
        <f t="shared" si="399"/>
        <v>0</v>
      </c>
    </row>
    <row r="674" spans="1:9" ht="72" x14ac:dyDescent="0.25">
      <c r="A674" s="18">
        <f t="shared" si="360"/>
        <v>663</v>
      </c>
      <c r="B674" s="16" t="s">
        <v>80</v>
      </c>
      <c r="C674" s="17" t="s">
        <v>14</v>
      </c>
      <c r="D674" s="17" t="s">
        <v>574</v>
      </c>
      <c r="E674" s="17" t="s">
        <v>81</v>
      </c>
      <c r="F674" s="17"/>
      <c r="G674" s="14">
        <f>SUM(G675)</f>
        <v>0</v>
      </c>
      <c r="H674" s="14">
        <f t="shared" ref="H674:I674" si="400">SUM(H675)</f>
        <v>0</v>
      </c>
      <c r="I674" s="14">
        <f t="shared" si="400"/>
        <v>0</v>
      </c>
    </row>
    <row r="675" spans="1:9" ht="54" x14ac:dyDescent="0.25">
      <c r="A675" s="18">
        <f t="shared" si="360"/>
        <v>664</v>
      </c>
      <c r="B675" s="16" t="s">
        <v>231</v>
      </c>
      <c r="C675" s="17" t="s">
        <v>14</v>
      </c>
      <c r="D675" s="17" t="s">
        <v>574</v>
      </c>
      <c r="E675" s="17" t="s">
        <v>232</v>
      </c>
      <c r="F675" s="17"/>
      <c r="G675" s="14">
        <f>SUM(G676)</f>
        <v>0</v>
      </c>
      <c r="H675" s="14">
        <f t="shared" ref="H675:I675" si="401">SUM(H676)</f>
        <v>0</v>
      </c>
      <c r="I675" s="14">
        <f t="shared" si="401"/>
        <v>0</v>
      </c>
    </row>
    <row r="676" spans="1:9" ht="54.75" customHeight="1" x14ac:dyDescent="0.25">
      <c r="A676" s="18">
        <f t="shared" si="360"/>
        <v>665</v>
      </c>
      <c r="B676" s="16" t="s">
        <v>571</v>
      </c>
      <c r="C676" s="17" t="s">
        <v>14</v>
      </c>
      <c r="D676" s="17" t="s">
        <v>574</v>
      </c>
      <c r="E676" s="17" t="s">
        <v>572</v>
      </c>
      <c r="F676" s="17"/>
      <c r="G676" s="14">
        <f>SUM(G677)</f>
        <v>0</v>
      </c>
      <c r="H676" s="14">
        <f t="shared" ref="H676:I676" si="402">SUM(H677)</f>
        <v>0</v>
      </c>
      <c r="I676" s="14">
        <f t="shared" si="402"/>
        <v>0</v>
      </c>
    </row>
    <row r="677" spans="1:9" ht="36" x14ac:dyDescent="0.25">
      <c r="A677" s="18">
        <f t="shared" si="360"/>
        <v>666</v>
      </c>
      <c r="B677" s="16" t="s">
        <v>272</v>
      </c>
      <c r="C677" s="17" t="s">
        <v>14</v>
      </c>
      <c r="D677" s="17" t="s">
        <v>574</v>
      </c>
      <c r="E677" s="17" t="s">
        <v>572</v>
      </c>
      <c r="F677" s="17" t="s">
        <v>273</v>
      </c>
      <c r="G677" s="14">
        <f>502.25-502.25</f>
        <v>0</v>
      </c>
      <c r="H677" s="14">
        <f>505.7-505.7</f>
        <v>0</v>
      </c>
      <c r="I677" s="14">
        <f>519.67-519.67</f>
        <v>0</v>
      </c>
    </row>
    <row r="678" spans="1:9" ht="36" x14ac:dyDescent="0.25">
      <c r="A678" s="19">
        <f t="shared" si="360"/>
        <v>667</v>
      </c>
      <c r="B678" s="20" t="s">
        <v>575</v>
      </c>
      <c r="C678" s="21" t="s">
        <v>14</v>
      </c>
      <c r="D678" s="21" t="s">
        <v>576</v>
      </c>
      <c r="E678" s="21"/>
      <c r="F678" s="21"/>
      <c r="G678" s="13">
        <f>SUM(G679)</f>
        <v>300</v>
      </c>
      <c r="H678" s="13">
        <f t="shared" ref="H678:I678" si="403">SUM(H679)</f>
        <v>300</v>
      </c>
      <c r="I678" s="13">
        <f t="shared" si="403"/>
        <v>300</v>
      </c>
    </row>
    <row r="679" spans="1:9" ht="72" x14ac:dyDescent="0.25">
      <c r="A679" s="18">
        <f t="shared" si="360"/>
        <v>668</v>
      </c>
      <c r="B679" s="16" t="s">
        <v>80</v>
      </c>
      <c r="C679" s="17" t="s">
        <v>14</v>
      </c>
      <c r="D679" s="17" t="s">
        <v>576</v>
      </c>
      <c r="E679" s="17" t="s">
        <v>81</v>
      </c>
      <c r="F679" s="17"/>
      <c r="G679" s="14">
        <f>SUM(G680)</f>
        <v>300</v>
      </c>
      <c r="H679" s="14">
        <f t="shared" ref="H679:I679" si="404">SUM(H680)</f>
        <v>300</v>
      </c>
      <c r="I679" s="14">
        <f t="shared" si="404"/>
        <v>300</v>
      </c>
    </row>
    <row r="680" spans="1:9" ht="54" x14ac:dyDescent="0.25">
      <c r="A680" s="18">
        <f t="shared" si="360"/>
        <v>669</v>
      </c>
      <c r="B680" s="16" t="s">
        <v>231</v>
      </c>
      <c r="C680" s="17" t="s">
        <v>14</v>
      </c>
      <c r="D680" s="17" t="s">
        <v>576</v>
      </c>
      <c r="E680" s="17" t="s">
        <v>232</v>
      </c>
      <c r="F680" s="17"/>
      <c r="G680" s="14">
        <f>SUM(G681)</f>
        <v>300</v>
      </c>
      <c r="H680" s="14">
        <f t="shared" ref="H680:I680" si="405">SUM(H681)</f>
        <v>300</v>
      </c>
      <c r="I680" s="14">
        <f t="shared" si="405"/>
        <v>300</v>
      </c>
    </row>
    <row r="681" spans="1:9" ht="164.25" customHeight="1" x14ac:dyDescent="0.25">
      <c r="A681" s="18">
        <f t="shared" si="360"/>
        <v>670</v>
      </c>
      <c r="B681" s="16" t="s">
        <v>577</v>
      </c>
      <c r="C681" s="17" t="s">
        <v>14</v>
      </c>
      <c r="D681" s="17" t="s">
        <v>576</v>
      </c>
      <c r="E681" s="17" t="s">
        <v>578</v>
      </c>
      <c r="F681" s="17"/>
      <c r="G681" s="14">
        <f>SUM(G682)</f>
        <v>300</v>
      </c>
      <c r="H681" s="14">
        <f t="shared" ref="H681:I681" si="406">SUM(H682)</f>
        <v>300</v>
      </c>
      <c r="I681" s="14">
        <f t="shared" si="406"/>
        <v>300</v>
      </c>
    </row>
    <row r="682" spans="1:9" ht="54" customHeight="1" x14ac:dyDescent="0.25">
      <c r="A682" s="18">
        <f t="shared" ref="A682:A758" si="407">SUM(A681+1)</f>
        <v>671</v>
      </c>
      <c r="B682" s="16" t="s">
        <v>33</v>
      </c>
      <c r="C682" s="17" t="s">
        <v>14</v>
      </c>
      <c r="D682" s="17" t="s">
        <v>576</v>
      </c>
      <c r="E682" s="17" t="s">
        <v>578</v>
      </c>
      <c r="F682" s="17" t="s">
        <v>34</v>
      </c>
      <c r="G682" s="14">
        <v>300</v>
      </c>
      <c r="H682" s="14">
        <v>300</v>
      </c>
      <c r="I682" s="14">
        <v>300</v>
      </c>
    </row>
    <row r="683" spans="1:9" ht="72" x14ac:dyDescent="0.25">
      <c r="A683" s="19">
        <f t="shared" si="407"/>
        <v>672</v>
      </c>
      <c r="B683" s="20" t="s">
        <v>579</v>
      </c>
      <c r="C683" s="21" t="s">
        <v>580</v>
      </c>
      <c r="D683" s="21"/>
      <c r="E683" s="21"/>
      <c r="F683" s="21"/>
      <c r="G683" s="13">
        <f>SUM(G684+G689)</f>
        <v>752.5</v>
      </c>
      <c r="H683" s="13">
        <f t="shared" ref="H683:I683" si="408">SUM(H684+H689)</f>
        <v>380</v>
      </c>
      <c r="I683" s="13">
        <f t="shared" si="408"/>
        <v>380</v>
      </c>
    </row>
    <row r="684" spans="1:9" ht="36" x14ac:dyDescent="0.25">
      <c r="A684" s="19">
        <f t="shared" si="407"/>
        <v>673</v>
      </c>
      <c r="B684" s="20" t="s">
        <v>867</v>
      </c>
      <c r="C684" s="21" t="s">
        <v>580</v>
      </c>
      <c r="D684" s="28" t="s">
        <v>16</v>
      </c>
      <c r="E684" s="21"/>
      <c r="F684" s="21"/>
      <c r="G684" s="13">
        <f>SUM(G685)</f>
        <v>372.5</v>
      </c>
      <c r="H684" s="13">
        <f t="shared" ref="H684:I687" si="409">SUM(H685)</f>
        <v>0</v>
      </c>
      <c r="I684" s="13">
        <f t="shared" si="409"/>
        <v>0</v>
      </c>
    </row>
    <row r="685" spans="1:9" s="26" customFormat="1" ht="36" x14ac:dyDescent="0.25">
      <c r="A685" s="19">
        <f t="shared" si="407"/>
        <v>674</v>
      </c>
      <c r="B685" s="20" t="s">
        <v>863</v>
      </c>
      <c r="C685" s="21" t="s">
        <v>580</v>
      </c>
      <c r="D685" s="28" t="s">
        <v>51</v>
      </c>
      <c r="E685" s="21"/>
      <c r="F685" s="21"/>
      <c r="G685" s="13">
        <f>SUM(G686)</f>
        <v>372.5</v>
      </c>
      <c r="H685" s="13">
        <f t="shared" si="409"/>
        <v>0</v>
      </c>
      <c r="I685" s="13">
        <f t="shared" si="409"/>
        <v>0</v>
      </c>
    </row>
    <row r="686" spans="1:9" s="32" customFormat="1" ht="18" x14ac:dyDescent="0.25">
      <c r="A686" s="18">
        <f t="shared" si="407"/>
        <v>675</v>
      </c>
      <c r="B686" s="16" t="s">
        <v>864</v>
      </c>
      <c r="C686" s="17" t="s">
        <v>580</v>
      </c>
      <c r="D686" s="27" t="s">
        <v>51</v>
      </c>
      <c r="E686" s="17">
        <v>7000000000</v>
      </c>
      <c r="F686" s="17"/>
      <c r="G686" s="14">
        <f>SUM(G687)</f>
        <v>372.5</v>
      </c>
      <c r="H686" s="14">
        <f t="shared" si="409"/>
        <v>0</v>
      </c>
      <c r="I686" s="14">
        <f t="shared" si="409"/>
        <v>0</v>
      </c>
    </row>
    <row r="687" spans="1:9" s="32" customFormat="1" ht="162" x14ac:dyDescent="0.25">
      <c r="A687" s="18">
        <f t="shared" si="407"/>
        <v>676</v>
      </c>
      <c r="B687" s="16" t="s">
        <v>865</v>
      </c>
      <c r="C687" s="17" t="s">
        <v>580</v>
      </c>
      <c r="D687" s="27" t="s">
        <v>51</v>
      </c>
      <c r="E687" s="17">
        <v>7000106000</v>
      </c>
      <c r="F687" s="17"/>
      <c r="G687" s="14">
        <f>SUM(G688)</f>
        <v>372.5</v>
      </c>
      <c r="H687" s="14">
        <f t="shared" si="409"/>
        <v>0</v>
      </c>
      <c r="I687" s="14">
        <f t="shared" si="409"/>
        <v>0</v>
      </c>
    </row>
    <row r="688" spans="1:9" s="32" customFormat="1" ht="18" x14ac:dyDescent="0.25">
      <c r="A688" s="18">
        <f t="shared" si="407"/>
        <v>677</v>
      </c>
      <c r="B688" s="16" t="s">
        <v>866</v>
      </c>
      <c r="C688" s="17" t="s">
        <v>580</v>
      </c>
      <c r="D688" s="27" t="s">
        <v>51</v>
      </c>
      <c r="E688" s="17">
        <v>7000106000</v>
      </c>
      <c r="F688" s="17">
        <v>830</v>
      </c>
      <c r="G688" s="14">
        <v>372.5</v>
      </c>
      <c r="H688" s="14">
        <v>0</v>
      </c>
      <c r="I688" s="14">
        <v>0</v>
      </c>
    </row>
    <row r="689" spans="1:9" ht="36" x14ac:dyDescent="0.25">
      <c r="A689" s="19">
        <f t="shared" si="407"/>
        <v>678</v>
      </c>
      <c r="B689" s="20" t="s">
        <v>159</v>
      </c>
      <c r="C689" s="21" t="s">
        <v>580</v>
      </c>
      <c r="D689" s="21" t="s">
        <v>160</v>
      </c>
      <c r="E689" s="21"/>
      <c r="F689" s="21"/>
      <c r="G689" s="13">
        <f t="shared" ref="G689:G693" si="410">SUM(G690)</f>
        <v>380</v>
      </c>
      <c r="H689" s="13">
        <f t="shared" ref="H689:I689" si="411">SUM(H690)</f>
        <v>380</v>
      </c>
      <c r="I689" s="13">
        <f t="shared" si="411"/>
        <v>380</v>
      </c>
    </row>
    <row r="690" spans="1:9" ht="36" x14ac:dyDescent="0.25">
      <c r="A690" s="19">
        <f t="shared" si="407"/>
        <v>679</v>
      </c>
      <c r="B690" s="20" t="s">
        <v>237</v>
      </c>
      <c r="C690" s="21" t="s">
        <v>580</v>
      </c>
      <c r="D690" s="21" t="s">
        <v>238</v>
      </c>
      <c r="E690" s="21"/>
      <c r="F690" s="21"/>
      <c r="G690" s="13">
        <f t="shared" si="410"/>
        <v>380</v>
      </c>
      <c r="H690" s="13">
        <f t="shared" ref="H690:I690" si="412">SUM(H691)</f>
        <v>380</v>
      </c>
      <c r="I690" s="13">
        <f t="shared" si="412"/>
        <v>380</v>
      </c>
    </row>
    <row r="691" spans="1:9" ht="129" customHeight="1" x14ac:dyDescent="0.25">
      <c r="A691" s="18">
        <f t="shared" si="407"/>
        <v>680</v>
      </c>
      <c r="B691" s="16" t="s">
        <v>64</v>
      </c>
      <c r="C691" s="17" t="s">
        <v>580</v>
      </c>
      <c r="D691" s="17" t="s">
        <v>238</v>
      </c>
      <c r="E691" s="17" t="s">
        <v>65</v>
      </c>
      <c r="F691" s="17"/>
      <c r="G691" s="14">
        <f t="shared" si="410"/>
        <v>380</v>
      </c>
      <c r="H691" s="14">
        <f t="shared" ref="H691:I691" si="413">SUM(H692)</f>
        <v>380</v>
      </c>
      <c r="I691" s="14">
        <f t="shared" si="413"/>
        <v>380</v>
      </c>
    </row>
    <row r="692" spans="1:9" ht="163.5" customHeight="1" x14ac:dyDescent="0.25">
      <c r="A692" s="18">
        <f t="shared" si="407"/>
        <v>681</v>
      </c>
      <c r="B692" s="16" t="s">
        <v>66</v>
      </c>
      <c r="C692" s="17" t="s">
        <v>580</v>
      </c>
      <c r="D692" s="17" t="s">
        <v>238</v>
      </c>
      <c r="E692" s="17" t="s">
        <v>67</v>
      </c>
      <c r="F692" s="17"/>
      <c r="G692" s="14">
        <f t="shared" si="410"/>
        <v>380</v>
      </c>
      <c r="H692" s="14">
        <f t="shared" ref="H692:I692" si="414">SUM(H693)</f>
        <v>380</v>
      </c>
      <c r="I692" s="14">
        <f t="shared" si="414"/>
        <v>380</v>
      </c>
    </row>
    <row r="693" spans="1:9" ht="111" customHeight="1" x14ac:dyDescent="0.25">
      <c r="A693" s="18">
        <f t="shared" si="407"/>
        <v>682</v>
      </c>
      <c r="B693" s="16" t="s">
        <v>581</v>
      </c>
      <c r="C693" s="17" t="s">
        <v>580</v>
      </c>
      <c r="D693" s="17" t="s">
        <v>238</v>
      </c>
      <c r="E693" s="17" t="s">
        <v>582</v>
      </c>
      <c r="F693" s="17"/>
      <c r="G693" s="14">
        <f t="shared" si="410"/>
        <v>380</v>
      </c>
      <c r="H693" s="14">
        <f t="shared" ref="H693:I693" si="415">SUM(H694)</f>
        <v>380</v>
      </c>
      <c r="I693" s="14">
        <f t="shared" si="415"/>
        <v>380</v>
      </c>
    </row>
    <row r="694" spans="1:9" ht="36" x14ac:dyDescent="0.25">
      <c r="A694" s="18">
        <f t="shared" si="407"/>
        <v>683</v>
      </c>
      <c r="B694" s="16" t="s">
        <v>37</v>
      </c>
      <c r="C694" s="17" t="s">
        <v>580</v>
      </c>
      <c r="D694" s="17" t="s">
        <v>238</v>
      </c>
      <c r="E694" s="17" t="s">
        <v>582</v>
      </c>
      <c r="F694" s="17" t="s">
        <v>38</v>
      </c>
      <c r="G694" s="14">
        <v>380</v>
      </c>
      <c r="H694" s="14">
        <v>380</v>
      </c>
      <c r="I694" s="14">
        <v>380</v>
      </c>
    </row>
    <row r="695" spans="1:9" ht="36" x14ac:dyDescent="0.25">
      <c r="A695" s="19">
        <f>SUM(A694+1)</f>
        <v>684</v>
      </c>
      <c r="B695" s="20" t="s">
        <v>583</v>
      </c>
      <c r="C695" s="21" t="s">
        <v>584</v>
      </c>
      <c r="D695" s="21"/>
      <c r="E695" s="21"/>
      <c r="F695" s="21"/>
      <c r="G695" s="13">
        <f>SUM(G696+G709+G876+G882+G890)</f>
        <v>1509464.11</v>
      </c>
      <c r="H695" s="13">
        <f>SUM(H696+H709+H876+H882+H890)</f>
        <v>1440265.7999999998</v>
      </c>
      <c r="I695" s="13">
        <f>SUM(I696+I709+I876+I882+I890)</f>
        <v>1516284.87</v>
      </c>
    </row>
    <row r="696" spans="1:9" ht="72" x14ac:dyDescent="0.25">
      <c r="A696" s="19">
        <f t="shared" si="407"/>
        <v>685</v>
      </c>
      <c r="B696" s="20" t="s">
        <v>90</v>
      </c>
      <c r="C696" s="21" t="s">
        <v>584</v>
      </c>
      <c r="D696" s="21" t="s">
        <v>91</v>
      </c>
      <c r="E696" s="21"/>
      <c r="F696" s="21"/>
      <c r="G696" s="13">
        <f>SUM(G697+G705)</f>
        <v>310</v>
      </c>
      <c r="H696" s="13">
        <f t="shared" ref="H696:I696" si="416">SUM(H697)</f>
        <v>100</v>
      </c>
      <c r="I696" s="13">
        <f t="shared" si="416"/>
        <v>100</v>
      </c>
    </row>
    <row r="697" spans="1:9" ht="75" customHeight="1" x14ac:dyDescent="0.25">
      <c r="A697" s="19">
        <f t="shared" si="407"/>
        <v>686</v>
      </c>
      <c r="B697" s="20" t="s">
        <v>102</v>
      </c>
      <c r="C697" s="21" t="s">
        <v>584</v>
      </c>
      <c r="D697" s="21" t="s">
        <v>103</v>
      </c>
      <c r="E697" s="21"/>
      <c r="F697" s="21"/>
      <c r="G697" s="13">
        <f>SUM(G698)</f>
        <v>300</v>
      </c>
      <c r="H697" s="13">
        <f t="shared" ref="H697:I697" si="417">SUM(H698)</f>
        <v>100</v>
      </c>
      <c r="I697" s="13">
        <f t="shared" si="417"/>
        <v>100</v>
      </c>
    </row>
    <row r="698" spans="1:9" ht="72" x14ac:dyDescent="0.25">
      <c r="A698" s="18">
        <f t="shared" si="407"/>
        <v>687</v>
      </c>
      <c r="B698" s="16" t="s">
        <v>94</v>
      </c>
      <c r="C698" s="17" t="s">
        <v>584</v>
      </c>
      <c r="D698" s="17" t="s">
        <v>103</v>
      </c>
      <c r="E698" s="17" t="s">
        <v>95</v>
      </c>
      <c r="F698" s="17"/>
      <c r="G698" s="14">
        <f>SUM(G699+G702)</f>
        <v>300</v>
      </c>
      <c r="H698" s="14">
        <f t="shared" ref="H698:I698" si="418">SUM(H699+H702)</f>
        <v>100</v>
      </c>
      <c r="I698" s="14">
        <f t="shared" si="418"/>
        <v>100</v>
      </c>
    </row>
    <row r="699" spans="1:9" ht="57.75" customHeight="1" x14ac:dyDescent="0.25">
      <c r="A699" s="18">
        <f t="shared" si="407"/>
        <v>688</v>
      </c>
      <c r="B699" s="16" t="s">
        <v>96</v>
      </c>
      <c r="C699" s="17" t="s">
        <v>584</v>
      </c>
      <c r="D699" s="17" t="s">
        <v>103</v>
      </c>
      <c r="E699" s="17" t="s">
        <v>97</v>
      </c>
      <c r="F699" s="17"/>
      <c r="G699" s="14">
        <f>SUM(G700)</f>
        <v>260</v>
      </c>
      <c r="H699" s="14">
        <f t="shared" ref="H699:I699" si="419">SUM(H700)</f>
        <v>60</v>
      </c>
      <c r="I699" s="14">
        <f t="shared" si="419"/>
        <v>60</v>
      </c>
    </row>
    <row r="700" spans="1:9" ht="37.5" customHeight="1" x14ac:dyDescent="0.25">
      <c r="A700" s="18">
        <f t="shared" si="407"/>
        <v>689</v>
      </c>
      <c r="B700" s="16" t="s">
        <v>585</v>
      </c>
      <c r="C700" s="17" t="s">
        <v>584</v>
      </c>
      <c r="D700" s="17" t="s">
        <v>103</v>
      </c>
      <c r="E700" s="17" t="s">
        <v>586</v>
      </c>
      <c r="F700" s="17"/>
      <c r="G700" s="14">
        <f>SUM(G701)</f>
        <v>260</v>
      </c>
      <c r="H700" s="14">
        <f t="shared" ref="H700:I700" si="420">SUM(H701)</f>
        <v>60</v>
      </c>
      <c r="I700" s="14">
        <f t="shared" si="420"/>
        <v>60</v>
      </c>
    </row>
    <row r="701" spans="1:9" ht="36" x14ac:dyDescent="0.25">
      <c r="A701" s="18">
        <f t="shared" si="407"/>
        <v>690</v>
      </c>
      <c r="B701" s="16" t="s">
        <v>157</v>
      </c>
      <c r="C701" s="17" t="s">
        <v>584</v>
      </c>
      <c r="D701" s="17" t="s">
        <v>103</v>
      </c>
      <c r="E701" s="17" t="s">
        <v>586</v>
      </c>
      <c r="F701" s="17" t="s">
        <v>158</v>
      </c>
      <c r="G701" s="14">
        <f>60+100+100</f>
        <v>260</v>
      </c>
      <c r="H701" s="14">
        <v>60</v>
      </c>
      <c r="I701" s="14">
        <v>60</v>
      </c>
    </row>
    <row r="702" spans="1:9" ht="39" customHeight="1" x14ac:dyDescent="0.25">
      <c r="A702" s="18">
        <f t="shared" si="407"/>
        <v>691</v>
      </c>
      <c r="B702" s="16" t="s">
        <v>112</v>
      </c>
      <c r="C702" s="17" t="s">
        <v>584</v>
      </c>
      <c r="D702" s="17" t="s">
        <v>103</v>
      </c>
      <c r="E702" s="17" t="s">
        <v>113</v>
      </c>
      <c r="F702" s="17"/>
      <c r="G702" s="14">
        <f>SUM(G703)</f>
        <v>40</v>
      </c>
      <c r="H702" s="14">
        <f t="shared" ref="H702:I702" si="421">SUM(H703)</f>
        <v>40</v>
      </c>
      <c r="I702" s="14">
        <f t="shared" si="421"/>
        <v>40</v>
      </c>
    </row>
    <row r="703" spans="1:9" ht="72" x14ac:dyDescent="0.25">
      <c r="A703" s="18">
        <f t="shared" si="407"/>
        <v>692</v>
      </c>
      <c r="B703" s="16" t="s">
        <v>114</v>
      </c>
      <c r="C703" s="17" t="s">
        <v>584</v>
      </c>
      <c r="D703" s="17" t="s">
        <v>103</v>
      </c>
      <c r="E703" s="17" t="s">
        <v>115</v>
      </c>
      <c r="F703" s="17"/>
      <c r="G703" s="14">
        <f>SUM(G704)</f>
        <v>40</v>
      </c>
      <c r="H703" s="14">
        <f t="shared" ref="H703:I703" si="422">SUM(H704)</f>
        <v>40</v>
      </c>
      <c r="I703" s="14">
        <f t="shared" si="422"/>
        <v>40</v>
      </c>
    </row>
    <row r="704" spans="1:9" ht="36" x14ac:dyDescent="0.25">
      <c r="A704" s="18">
        <f t="shared" si="407"/>
        <v>693</v>
      </c>
      <c r="B704" s="16" t="s">
        <v>272</v>
      </c>
      <c r="C704" s="17" t="s">
        <v>584</v>
      </c>
      <c r="D704" s="17" t="s">
        <v>103</v>
      </c>
      <c r="E704" s="17" t="s">
        <v>115</v>
      </c>
      <c r="F704" s="17" t="s">
        <v>273</v>
      </c>
      <c r="G704" s="14">
        <v>40</v>
      </c>
      <c r="H704" s="14">
        <v>40</v>
      </c>
      <c r="I704" s="14">
        <v>40</v>
      </c>
    </row>
    <row r="705" spans="1:9" s="26" customFormat="1" ht="54" x14ac:dyDescent="0.25">
      <c r="A705" s="19">
        <f t="shared" si="407"/>
        <v>694</v>
      </c>
      <c r="B705" s="20" t="s">
        <v>868</v>
      </c>
      <c r="C705" s="21" t="s">
        <v>584</v>
      </c>
      <c r="D705" s="28" t="s">
        <v>133</v>
      </c>
      <c r="E705" s="28"/>
      <c r="F705" s="28"/>
      <c r="G705" s="13">
        <f>SUM(G706)</f>
        <v>10</v>
      </c>
      <c r="H705" s="13">
        <f t="shared" ref="H705:I707" si="423">SUM(H706)</f>
        <v>0</v>
      </c>
      <c r="I705" s="13">
        <f t="shared" si="423"/>
        <v>0</v>
      </c>
    </row>
    <row r="706" spans="1:9" ht="108" x14ac:dyDescent="0.25">
      <c r="A706" s="18">
        <f t="shared" si="407"/>
        <v>695</v>
      </c>
      <c r="B706" s="16" t="s">
        <v>869</v>
      </c>
      <c r="C706" s="17" t="s">
        <v>584</v>
      </c>
      <c r="D706" s="27" t="s">
        <v>133</v>
      </c>
      <c r="E706" s="27" t="s">
        <v>154</v>
      </c>
      <c r="F706" s="27"/>
      <c r="G706" s="14">
        <f>SUM(G707)</f>
        <v>10</v>
      </c>
      <c r="H706" s="14">
        <f t="shared" si="423"/>
        <v>0</v>
      </c>
      <c r="I706" s="14">
        <f t="shared" si="423"/>
        <v>0</v>
      </c>
    </row>
    <row r="707" spans="1:9" ht="90" x14ac:dyDescent="0.25">
      <c r="A707" s="18">
        <f t="shared" si="407"/>
        <v>696</v>
      </c>
      <c r="B707" s="16" t="s">
        <v>871</v>
      </c>
      <c r="C707" s="17" t="s">
        <v>584</v>
      </c>
      <c r="D707" s="27" t="s">
        <v>133</v>
      </c>
      <c r="E707" s="27" t="s">
        <v>870</v>
      </c>
      <c r="F707" s="27"/>
      <c r="G707" s="14">
        <f>SUM(G708)</f>
        <v>10</v>
      </c>
      <c r="H707" s="14">
        <f t="shared" si="423"/>
        <v>0</v>
      </c>
      <c r="I707" s="14">
        <f t="shared" si="423"/>
        <v>0</v>
      </c>
    </row>
    <row r="708" spans="1:9" ht="36" x14ac:dyDescent="0.25">
      <c r="A708" s="18">
        <f t="shared" si="407"/>
        <v>697</v>
      </c>
      <c r="B708" s="16" t="s">
        <v>272</v>
      </c>
      <c r="C708" s="17" t="s">
        <v>584</v>
      </c>
      <c r="D708" s="27" t="s">
        <v>133</v>
      </c>
      <c r="E708" s="27" t="s">
        <v>870</v>
      </c>
      <c r="F708" s="27" t="s">
        <v>273</v>
      </c>
      <c r="G708" s="14">
        <v>10</v>
      </c>
      <c r="H708" s="14">
        <v>0</v>
      </c>
      <c r="I708" s="14">
        <v>0</v>
      </c>
    </row>
    <row r="709" spans="1:9" ht="18" x14ac:dyDescent="0.25">
      <c r="A709" s="19">
        <f t="shared" si="407"/>
        <v>698</v>
      </c>
      <c r="B709" s="20" t="s">
        <v>428</v>
      </c>
      <c r="C709" s="21" t="s">
        <v>584</v>
      </c>
      <c r="D709" s="21" t="s">
        <v>429</v>
      </c>
      <c r="E709" s="21"/>
      <c r="F709" s="21"/>
      <c r="G709" s="13">
        <f>SUM(G710+G741+G800+G826)</f>
        <v>1483583.5000000002</v>
      </c>
      <c r="H709" s="13">
        <f t="shared" ref="H709:I709" si="424">SUM(H710+H741+H800+H826)</f>
        <v>1415682.41</v>
      </c>
      <c r="I709" s="13">
        <f t="shared" si="424"/>
        <v>1489858.6900000002</v>
      </c>
    </row>
    <row r="710" spans="1:9" ht="18" x14ac:dyDescent="0.25">
      <c r="A710" s="19">
        <f t="shared" si="407"/>
        <v>699</v>
      </c>
      <c r="B710" s="20" t="s">
        <v>587</v>
      </c>
      <c r="C710" s="21" t="s">
        <v>584</v>
      </c>
      <c r="D710" s="21" t="s">
        <v>588</v>
      </c>
      <c r="E710" s="21"/>
      <c r="F710" s="21"/>
      <c r="G710" s="13">
        <f>SUM(G711+G732+G737)</f>
        <v>556676.9800000001</v>
      </c>
      <c r="H710" s="13">
        <f t="shared" ref="H710:I710" si="425">SUM(H711+H732+H737)</f>
        <v>553230.03</v>
      </c>
      <c r="I710" s="13">
        <f t="shared" si="425"/>
        <v>581922.80000000005</v>
      </c>
    </row>
    <row r="711" spans="1:9" ht="72" x14ac:dyDescent="0.25">
      <c r="A711" s="18">
        <f t="shared" si="407"/>
        <v>700</v>
      </c>
      <c r="B711" s="16" t="s">
        <v>589</v>
      </c>
      <c r="C711" s="17" t="s">
        <v>584</v>
      </c>
      <c r="D711" s="17" t="s">
        <v>588</v>
      </c>
      <c r="E711" s="17" t="s">
        <v>590</v>
      </c>
      <c r="F711" s="17"/>
      <c r="G711" s="14">
        <f>SUM(G712)</f>
        <v>547137.38000000012</v>
      </c>
      <c r="H711" s="14">
        <f t="shared" ref="H711:I711" si="426">SUM(H712)</f>
        <v>553230.03</v>
      </c>
      <c r="I711" s="14">
        <f t="shared" si="426"/>
        <v>581922.80000000005</v>
      </c>
    </row>
    <row r="712" spans="1:9" ht="54" x14ac:dyDescent="0.25">
      <c r="A712" s="18">
        <f t="shared" si="407"/>
        <v>701</v>
      </c>
      <c r="B712" s="16" t="s">
        <v>591</v>
      </c>
      <c r="C712" s="17" t="s">
        <v>584</v>
      </c>
      <c r="D712" s="17" t="s">
        <v>588</v>
      </c>
      <c r="E712" s="17" t="s">
        <v>592</v>
      </c>
      <c r="F712" s="17"/>
      <c r="G712" s="14">
        <f>SUM(G713+G716+G719+G721+G723+G726+G729)</f>
        <v>547137.38000000012</v>
      </c>
      <c r="H712" s="14">
        <f t="shared" ref="H712:I712" si="427">SUM(H713+H716+H719+H721+H723+H726+H729)</f>
        <v>553230.03</v>
      </c>
      <c r="I712" s="14">
        <f t="shared" si="427"/>
        <v>581922.80000000005</v>
      </c>
    </row>
    <row r="713" spans="1:9" ht="166.5" customHeight="1" x14ac:dyDescent="0.25">
      <c r="A713" s="18">
        <f t="shared" si="407"/>
        <v>702</v>
      </c>
      <c r="B713" s="16" t="s">
        <v>593</v>
      </c>
      <c r="C713" s="17" t="s">
        <v>584</v>
      </c>
      <c r="D713" s="17" t="s">
        <v>588</v>
      </c>
      <c r="E713" s="17" t="s">
        <v>594</v>
      </c>
      <c r="F713" s="17"/>
      <c r="G713" s="14">
        <f>SUM(G714:G715)</f>
        <v>315437.40000000002</v>
      </c>
      <c r="H713" s="14">
        <f t="shared" ref="H713:I713" si="428">SUM(H714:H715)</f>
        <v>324931</v>
      </c>
      <c r="I713" s="14">
        <f t="shared" si="428"/>
        <v>344494</v>
      </c>
    </row>
    <row r="714" spans="1:9" ht="36" x14ac:dyDescent="0.25">
      <c r="A714" s="18">
        <f t="shared" si="407"/>
        <v>703</v>
      </c>
      <c r="B714" s="16" t="s">
        <v>157</v>
      </c>
      <c r="C714" s="17" t="s">
        <v>584</v>
      </c>
      <c r="D714" s="17" t="s">
        <v>588</v>
      </c>
      <c r="E714" s="17" t="s">
        <v>594</v>
      </c>
      <c r="F714" s="17" t="s">
        <v>158</v>
      </c>
      <c r="G714" s="14">
        <f>127068.2+418.5</f>
        <v>127486.7</v>
      </c>
      <c r="H714" s="14">
        <v>131922</v>
      </c>
      <c r="I714" s="14">
        <v>139865</v>
      </c>
    </row>
    <row r="715" spans="1:9" ht="36" x14ac:dyDescent="0.25">
      <c r="A715" s="18">
        <f t="shared" si="407"/>
        <v>704</v>
      </c>
      <c r="B715" s="16" t="s">
        <v>272</v>
      </c>
      <c r="C715" s="17" t="s">
        <v>584</v>
      </c>
      <c r="D715" s="17" t="s">
        <v>588</v>
      </c>
      <c r="E715" s="17" t="s">
        <v>594</v>
      </c>
      <c r="F715" s="17" t="s">
        <v>273</v>
      </c>
      <c r="G715" s="14">
        <f>188369.2-418.5</f>
        <v>187950.7</v>
      </c>
      <c r="H715" s="14">
        <v>193009</v>
      </c>
      <c r="I715" s="14">
        <v>204629</v>
      </c>
    </row>
    <row r="716" spans="1:9" ht="165.75" customHeight="1" x14ac:dyDescent="0.25">
      <c r="A716" s="18">
        <f t="shared" si="407"/>
        <v>705</v>
      </c>
      <c r="B716" s="16" t="s">
        <v>595</v>
      </c>
      <c r="C716" s="17" t="s">
        <v>584</v>
      </c>
      <c r="D716" s="17" t="s">
        <v>588</v>
      </c>
      <c r="E716" s="17" t="s">
        <v>596</v>
      </c>
      <c r="F716" s="17"/>
      <c r="G716" s="14">
        <f>SUM(G717:G718)</f>
        <v>2942</v>
      </c>
      <c r="H716" s="14">
        <f t="shared" ref="H716:I716" si="429">SUM(H717:H718)</f>
        <v>3060</v>
      </c>
      <c r="I716" s="14">
        <f t="shared" si="429"/>
        <v>3182</v>
      </c>
    </row>
    <row r="717" spans="1:9" ht="36" x14ac:dyDescent="0.25">
      <c r="A717" s="18">
        <f t="shared" si="407"/>
        <v>706</v>
      </c>
      <c r="B717" s="16" t="s">
        <v>157</v>
      </c>
      <c r="C717" s="17" t="s">
        <v>584</v>
      </c>
      <c r="D717" s="17" t="s">
        <v>588</v>
      </c>
      <c r="E717" s="17" t="s">
        <v>596</v>
      </c>
      <c r="F717" s="17" t="s">
        <v>158</v>
      </c>
      <c r="G717" s="14">
        <v>1198</v>
      </c>
      <c r="H717" s="14">
        <v>1246</v>
      </c>
      <c r="I717" s="14">
        <v>1296</v>
      </c>
    </row>
    <row r="718" spans="1:9" ht="36" x14ac:dyDescent="0.25">
      <c r="A718" s="18">
        <f t="shared" si="407"/>
        <v>707</v>
      </c>
      <c r="B718" s="16" t="s">
        <v>272</v>
      </c>
      <c r="C718" s="17" t="s">
        <v>584</v>
      </c>
      <c r="D718" s="17" t="s">
        <v>588</v>
      </c>
      <c r="E718" s="17" t="s">
        <v>596</v>
      </c>
      <c r="F718" s="17" t="s">
        <v>273</v>
      </c>
      <c r="G718" s="14">
        <v>1744</v>
      </c>
      <c r="H718" s="14">
        <v>1814</v>
      </c>
      <c r="I718" s="14">
        <v>1886</v>
      </c>
    </row>
    <row r="719" spans="1:9" ht="240" customHeight="1" x14ac:dyDescent="0.25">
      <c r="A719" s="18">
        <f t="shared" si="407"/>
        <v>708</v>
      </c>
      <c r="B719" s="16" t="s">
        <v>597</v>
      </c>
      <c r="C719" s="17" t="s">
        <v>584</v>
      </c>
      <c r="D719" s="17" t="s">
        <v>588</v>
      </c>
      <c r="E719" s="17" t="s">
        <v>598</v>
      </c>
      <c r="F719" s="17"/>
      <c r="G719" s="14">
        <f>SUM(G720)</f>
        <v>19009.400000000001</v>
      </c>
      <c r="H719" s="14">
        <f t="shared" ref="H719:I719" si="430">SUM(H720)</f>
        <v>19631</v>
      </c>
      <c r="I719" s="14">
        <f t="shared" si="430"/>
        <v>20824</v>
      </c>
    </row>
    <row r="720" spans="1:9" ht="36" x14ac:dyDescent="0.25">
      <c r="A720" s="18">
        <f t="shared" si="407"/>
        <v>709</v>
      </c>
      <c r="B720" s="16" t="s">
        <v>157</v>
      </c>
      <c r="C720" s="17" t="s">
        <v>584</v>
      </c>
      <c r="D720" s="17" t="s">
        <v>588</v>
      </c>
      <c r="E720" s="17" t="s">
        <v>598</v>
      </c>
      <c r="F720" s="17" t="s">
        <v>158</v>
      </c>
      <c r="G720" s="14">
        <f>18439+570.4</f>
        <v>19009.400000000001</v>
      </c>
      <c r="H720" s="14">
        <v>19631</v>
      </c>
      <c r="I720" s="14">
        <v>20824</v>
      </c>
    </row>
    <row r="721" spans="1:9" ht="238.5" customHeight="1" x14ac:dyDescent="0.25">
      <c r="A721" s="18">
        <f t="shared" si="407"/>
        <v>710</v>
      </c>
      <c r="B721" s="16" t="s">
        <v>599</v>
      </c>
      <c r="C721" s="17" t="s">
        <v>584</v>
      </c>
      <c r="D721" s="17" t="s">
        <v>588</v>
      </c>
      <c r="E721" s="17" t="s">
        <v>600</v>
      </c>
      <c r="F721" s="17"/>
      <c r="G721" s="14">
        <f>SUM(G722)</f>
        <v>180</v>
      </c>
      <c r="H721" s="14">
        <f t="shared" ref="H721:I721" si="431">SUM(H722)</f>
        <v>187</v>
      </c>
      <c r="I721" s="14">
        <f t="shared" si="431"/>
        <v>195</v>
      </c>
    </row>
    <row r="722" spans="1:9" ht="36" x14ac:dyDescent="0.25">
      <c r="A722" s="18">
        <f t="shared" si="407"/>
        <v>711</v>
      </c>
      <c r="B722" s="16" t="s">
        <v>157</v>
      </c>
      <c r="C722" s="17" t="s">
        <v>584</v>
      </c>
      <c r="D722" s="17" t="s">
        <v>588</v>
      </c>
      <c r="E722" s="17" t="s">
        <v>600</v>
      </c>
      <c r="F722" s="17" t="s">
        <v>158</v>
      </c>
      <c r="G722" s="14">
        <v>180</v>
      </c>
      <c r="H722" s="14">
        <v>187</v>
      </c>
      <c r="I722" s="14">
        <v>195</v>
      </c>
    </row>
    <row r="723" spans="1:9" ht="108" x14ac:dyDescent="0.25">
      <c r="A723" s="18">
        <f t="shared" si="407"/>
        <v>712</v>
      </c>
      <c r="B723" s="16" t="s">
        <v>601</v>
      </c>
      <c r="C723" s="17" t="s">
        <v>584</v>
      </c>
      <c r="D723" s="17" t="s">
        <v>588</v>
      </c>
      <c r="E723" s="17" t="s">
        <v>602</v>
      </c>
      <c r="F723" s="17"/>
      <c r="G723" s="14">
        <f>SUM(G724:G725)</f>
        <v>196897.38</v>
      </c>
      <c r="H723" s="14">
        <f t="shared" ref="H723:I723" si="432">SUM(H724:H725)</f>
        <v>197550.3</v>
      </c>
      <c r="I723" s="14">
        <f t="shared" si="432"/>
        <v>203227.8</v>
      </c>
    </row>
    <row r="724" spans="1:9" ht="36" x14ac:dyDescent="0.25">
      <c r="A724" s="18">
        <f t="shared" si="407"/>
        <v>713</v>
      </c>
      <c r="B724" s="16" t="s">
        <v>157</v>
      </c>
      <c r="C724" s="17" t="s">
        <v>584</v>
      </c>
      <c r="D724" s="17" t="s">
        <v>588</v>
      </c>
      <c r="E724" s="17" t="s">
        <v>602</v>
      </c>
      <c r="F724" s="17" t="s">
        <v>158</v>
      </c>
      <c r="G724" s="14">
        <f>91028.26-833.37</f>
        <v>90194.89</v>
      </c>
      <c r="H724" s="14">
        <v>91213</v>
      </c>
      <c r="I724" s="14">
        <v>93918</v>
      </c>
    </row>
    <row r="725" spans="1:9" ht="36" x14ac:dyDescent="0.25">
      <c r="A725" s="18">
        <f t="shared" si="407"/>
        <v>714</v>
      </c>
      <c r="B725" s="16" t="s">
        <v>272</v>
      </c>
      <c r="C725" s="17" t="s">
        <v>584</v>
      </c>
      <c r="D725" s="17" t="s">
        <v>588</v>
      </c>
      <c r="E725" s="17" t="s">
        <v>602</v>
      </c>
      <c r="F725" s="17" t="s">
        <v>273</v>
      </c>
      <c r="G725" s="14">
        <f>107301.9-599.41</f>
        <v>106702.48999999999</v>
      </c>
      <c r="H725" s="14">
        <v>106337.3</v>
      </c>
      <c r="I725" s="14">
        <v>109309.8</v>
      </c>
    </row>
    <row r="726" spans="1:9" ht="166.5" customHeight="1" x14ac:dyDescent="0.25">
      <c r="A726" s="18">
        <f t="shared" si="407"/>
        <v>715</v>
      </c>
      <c r="B726" s="16" t="s">
        <v>844</v>
      </c>
      <c r="C726" s="17" t="s">
        <v>584</v>
      </c>
      <c r="D726" s="17" t="s">
        <v>588</v>
      </c>
      <c r="E726" s="17" t="s">
        <v>603</v>
      </c>
      <c r="F726" s="17"/>
      <c r="G726" s="14">
        <f>SUM(G727:G728)</f>
        <v>8569.02</v>
      </c>
      <c r="H726" s="14">
        <f t="shared" ref="H726:I726" si="433">SUM(H727:H728)</f>
        <v>0</v>
      </c>
      <c r="I726" s="14">
        <f t="shared" si="433"/>
        <v>10000</v>
      </c>
    </row>
    <row r="727" spans="1:9" ht="36" x14ac:dyDescent="0.25">
      <c r="A727" s="18">
        <f t="shared" si="407"/>
        <v>716</v>
      </c>
      <c r="B727" s="16" t="s">
        <v>157</v>
      </c>
      <c r="C727" s="17" t="s">
        <v>584</v>
      </c>
      <c r="D727" s="17" t="s">
        <v>588</v>
      </c>
      <c r="E727" s="17" t="s">
        <v>603</v>
      </c>
      <c r="F727" s="17" t="s">
        <v>158</v>
      </c>
      <c r="G727" s="14">
        <f>4302.16</f>
        <v>4302.16</v>
      </c>
      <c r="H727" s="14">
        <v>0</v>
      </c>
      <c r="I727" s="14">
        <v>10000</v>
      </c>
    </row>
    <row r="728" spans="1:9" ht="36" x14ac:dyDescent="0.25">
      <c r="A728" s="18">
        <f t="shared" si="407"/>
        <v>717</v>
      </c>
      <c r="B728" s="16" t="s">
        <v>272</v>
      </c>
      <c r="C728" s="17" t="s">
        <v>584</v>
      </c>
      <c r="D728" s="17" t="s">
        <v>588</v>
      </c>
      <c r="E728" s="17" t="s">
        <v>603</v>
      </c>
      <c r="F728" s="17" t="s">
        <v>273</v>
      </c>
      <c r="G728" s="14">
        <f>4397.15-130.29</f>
        <v>4266.8599999999997</v>
      </c>
      <c r="H728" s="14">
        <v>0</v>
      </c>
      <c r="I728" s="14">
        <v>0</v>
      </c>
    </row>
    <row r="729" spans="1:9" ht="150.75" customHeight="1" x14ac:dyDescent="0.25">
      <c r="A729" s="18">
        <f t="shared" si="407"/>
        <v>718</v>
      </c>
      <c r="B729" s="16" t="s">
        <v>604</v>
      </c>
      <c r="C729" s="17" t="s">
        <v>584</v>
      </c>
      <c r="D729" s="17" t="s">
        <v>588</v>
      </c>
      <c r="E729" s="17" t="s">
        <v>605</v>
      </c>
      <c r="F729" s="17"/>
      <c r="G729" s="14">
        <f>SUM(G730:G731)</f>
        <v>4102.1799999999994</v>
      </c>
      <c r="H729" s="14">
        <f t="shared" ref="H729:I729" si="434">SUM(H730:H731)</f>
        <v>7870.73</v>
      </c>
      <c r="I729" s="14">
        <f t="shared" si="434"/>
        <v>0</v>
      </c>
    </row>
    <row r="730" spans="1:9" ht="36" x14ac:dyDescent="0.25">
      <c r="A730" s="18">
        <f t="shared" si="407"/>
        <v>719</v>
      </c>
      <c r="B730" s="16" t="s">
        <v>157</v>
      </c>
      <c r="C730" s="17" t="s">
        <v>584</v>
      </c>
      <c r="D730" s="17" t="s">
        <v>588</v>
      </c>
      <c r="E730" s="17" t="s">
        <v>605</v>
      </c>
      <c r="F730" s="17" t="s">
        <v>158</v>
      </c>
      <c r="G730" s="14">
        <v>2112.9499999999998</v>
      </c>
      <c r="H730" s="14">
        <v>3000</v>
      </c>
      <c r="I730" s="14">
        <v>0</v>
      </c>
    </row>
    <row r="731" spans="1:9" ht="36" x14ac:dyDescent="0.25">
      <c r="A731" s="18">
        <f t="shared" si="407"/>
        <v>720</v>
      </c>
      <c r="B731" s="16" t="s">
        <v>272</v>
      </c>
      <c r="C731" s="17" t="s">
        <v>584</v>
      </c>
      <c r="D731" s="17" t="s">
        <v>588</v>
      </c>
      <c r="E731" s="17" t="s">
        <v>605</v>
      </c>
      <c r="F731" s="17" t="s">
        <v>273</v>
      </c>
      <c r="G731" s="14">
        <f>3199.12-1209.89</f>
        <v>1989.2299999999998</v>
      </c>
      <c r="H731" s="14">
        <v>4870.7299999999996</v>
      </c>
      <c r="I731" s="14">
        <v>0</v>
      </c>
    </row>
    <row r="732" spans="1:9" ht="72" x14ac:dyDescent="0.25">
      <c r="A732" s="18">
        <f t="shared" si="407"/>
        <v>721</v>
      </c>
      <c r="B732" s="16" t="s">
        <v>80</v>
      </c>
      <c r="C732" s="17" t="s">
        <v>584</v>
      </c>
      <c r="D732" s="17" t="s">
        <v>588</v>
      </c>
      <c r="E732" s="17" t="s">
        <v>81</v>
      </c>
      <c r="F732" s="17"/>
      <c r="G732" s="14">
        <f>SUM(G733)</f>
        <v>5145</v>
      </c>
      <c r="H732" s="14">
        <f t="shared" ref="H732:I732" si="435">SUM(H733)</f>
        <v>0</v>
      </c>
      <c r="I732" s="14">
        <f t="shared" si="435"/>
        <v>0</v>
      </c>
    </row>
    <row r="733" spans="1:9" ht="54" x14ac:dyDescent="0.25">
      <c r="A733" s="18">
        <f t="shared" si="407"/>
        <v>722</v>
      </c>
      <c r="B733" s="16" t="s">
        <v>82</v>
      </c>
      <c r="C733" s="17" t="s">
        <v>584</v>
      </c>
      <c r="D733" s="17" t="s">
        <v>588</v>
      </c>
      <c r="E733" s="17" t="s">
        <v>83</v>
      </c>
      <c r="F733" s="17"/>
      <c r="G733" s="14">
        <f>SUM(G734)</f>
        <v>5145</v>
      </c>
      <c r="H733" s="14">
        <f t="shared" ref="H733:I733" si="436">SUM(H734)</f>
        <v>0</v>
      </c>
      <c r="I733" s="14">
        <f t="shared" si="436"/>
        <v>0</v>
      </c>
    </row>
    <row r="734" spans="1:9" ht="109.5" customHeight="1" x14ac:dyDescent="0.25">
      <c r="A734" s="18">
        <f t="shared" si="407"/>
        <v>723</v>
      </c>
      <c r="B734" s="16" t="s">
        <v>634</v>
      </c>
      <c r="C734" s="17" t="s">
        <v>584</v>
      </c>
      <c r="D734" s="17" t="s">
        <v>588</v>
      </c>
      <c r="E734" s="17" t="s">
        <v>635</v>
      </c>
      <c r="F734" s="17"/>
      <c r="G734" s="14">
        <f>SUM(G735:G736)</f>
        <v>5145</v>
      </c>
      <c r="H734" s="14">
        <f t="shared" ref="H734:I734" si="437">SUM(H735:H736)</f>
        <v>0</v>
      </c>
      <c r="I734" s="14">
        <f t="shared" si="437"/>
        <v>0</v>
      </c>
    </row>
    <row r="735" spans="1:9" ht="36" x14ac:dyDescent="0.25">
      <c r="A735" s="18">
        <f t="shared" si="407"/>
        <v>724</v>
      </c>
      <c r="B735" s="16" t="s">
        <v>157</v>
      </c>
      <c r="C735" s="17" t="s">
        <v>584</v>
      </c>
      <c r="D735" s="17" t="s">
        <v>588</v>
      </c>
      <c r="E735" s="17" t="s">
        <v>635</v>
      </c>
      <c r="F735" s="17" t="s">
        <v>158</v>
      </c>
      <c r="G735" s="14">
        <v>4410</v>
      </c>
      <c r="H735" s="14">
        <v>0</v>
      </c>
      <c r="I735" s="14">
        <v>0</v>
      </c>
    </row>
    <row r="736" spans="1:9" ht="36" x14ac:dyDescent="0.25">
      <c r="A736" s="18">
        <f t="shared" si="407"/>
        <v>725</v>
      </c>
      <c r="B736" s="16" t="s">
        <v>272</v>
      </c>
      <c r="C736" s="17" t="s">
        <v>584</v>
      </c>
      <c r="D736" s="17" t="s">
        <v>588</v>
      </c>
      <c r="E736" s="17" t="s">
        <v>635</v>
      </c>
      <c r="F736" s="17" t="s">
        <v>273</v>
      </c>
      <c r="G736" s="14">
        <v>735</v>
      </c>
      <c r="H736" s="14">
        <v>0</v>
      </c>
      <c r="I736" s="14">
        <v>0</v>
      </c>
    </row>
    <row r="737" spans="1:9" ht="18" x14ac:dyDescent="0.25">
      <c r="A737" s="18">
        <f t="shared" si="407"/>
        <v>726</v>
      </c>
      <c r="B737" s="16" t="s">
        <v>892</v>
      </c>
      <c r="C737" s="17" t="s">
        <v>584</v>
      </c>
      <c r="D737" s="17" t="s">
        <v>588</v>
      </c>
      <c r="E737" s="17">
        <v>7000000000</v>
      </c>
      <c r="F737" s="17"/>
      <c r="G737" s="14">
        <f>SUM(G738)</f>
        <v>4394.6000000000004</v>
      </c>
      <c r="H737" s="14">
        <f t="shared" ref="H737:I737" si="438">SUM(H738)</f>
        <v>0</v>
      </c>
      <c r="I737" s="14">
        <f t="shared" si="438"/>
        <v>0</v>
      </c>
    </row>
    <row r="738" spans="1:9" ht="144" x14ac:dyDescent="0.25">
      <c r="A738" s="18">
        <f t="shared" si="407"/>
        <v>727</v>
      </c>
      <c r="B738" s="16" t="s">
        <v>883</v>
      </c>
      <c r="C738" s="17" t="s">
        <v>584</v>
      </c>
      <c r="D738" s="17" t="s">
        <v>588</v>
      </c>
      <c r="E738" s="17">
        <v>7000140600</v>
      </c>
      <c r="F738" s="17"/>
      <c r="G738" s="14">
        <f>SUM(G739:G740)</f>
        <v>4394.6000000000004</v>
      </c>
      <c r="H738" s="14">
        <f t="shared" ref="H738:I738" si="439">SUM(H739:H740)</f>
        <v>0</v>
      </c>
      <c r="I738" s="14">
        <f t="shared" si="439"/>
        <v>0</v>
      </c>
    </row>
    <row r="739" spans="1:9" ht="36" x14ac:dyDescent="0.25">
      <c r="A739" s="18">
        <f t="shared" si="407"/>
        <v>728</v>
      </c>
      <c r="B739" s="16" t="s">
        <v>157</v>
      </c>
      <c r="C739" s="17" t="s">
        <v>584</v>
      </c>
      <c r="D739" s="17" t="s">
        <v>588</v>
      </c>
      <c r="E739" s="17">
        <v>7000140600</v>
      </c>
      <c r="F739" s="17">
        <v>610</v>
      </c>
      <c r="G739" s="14">
        <v>2086.0300000000002</v>
      </c>
      <c r="H739" s="14">
        <v>0</v>
      </c>
      <c r="I739" s="14">
        <v>0</v>
      </c>
    </row>
    <row r="740" spans="1:9" ht="36" x14ac:dyDescent="0.25">
      <c r="A740" s="18">
        <f t="shared" si="407"/>
        <v>729</v>
      </c>
      <c r="B740" s="16" t="s">
        <v>272</v>
      </c>
      <c r="C740" s="17" t="s">
        <v>584</v>
      </c>
      <c r="D740" s="17" t="s">
        <v>588</v>
      </c>
      <c r="E740" s="17">
        <v>7000140600</v>
      </c>
      <c r="F740" s="17">
        <v>620</v>
      </c>
      <c r="G740" s="14">
        <v>2308.5700000000002</v>
      </c>
      <c r="H740" s="14">
        <v>0</v>
      </c>
      <c r="I740" s="14">
        <v>0</v>
      </c>
    </row>
    <row r="741" spans="1:9" ht="18" x14ac:dyDescent="0.25">
      <c r="A741" s="19">
        <f t="shared" si="407"/>
        <v>730</v>
      </c>
      <c r="B741" s="20" t="s">
        <v>606</v>
      </c>
      <c r="C741" s="21" t="s">
        <v>584</v>
      </c>
      <c r="D741" s="21" t="s">
        <v>607</v>
      </c>
      <c r="E741" s="21"/>
      <c r="F741" s="21"/>
      <c r="G741" s="13">
        <f>SUM(G742+G746+G788+G792+G796)</f>
        <v>777033.37</v>
      </c>
      <c r="H741" s="13">
        <f t="shared" ref="H741:I741" si="440">SUM(H742+H746+H788+H792+H796)</f>
        <v>727752.99</v>
      </c>
      <c r="I741" s="13">
        <f t="shared" si="440"/>
        <v>768511.8</v>
      </c>
    </row>
    <row r="742" spans="1:9" ht="74.25" customHeight="1" x14ac:dyDescent="0.25">
      <c r="A742" s="18">
        <f t="shared" si="407"/>
        <v>731</v>
      </c>
      <c r="B742" s="16" t="s">
        <v>239</v>
      </c>
      <c r="C742" s="17" t="s">
        <v>584</v>
      </c>
      <c r="D742" s="17" t="s">
        <v>607</v>
      </c>
      <c r="E742" s="17" t="s">
        <v>240</v>
      </c>
      <c r="F742" s="17"/>
      <c r="G742" s="14">
        <f>SUM(G743)</f>
        <v>0</v>
      </c>
      <c r="H742" s="14">
        <f t="shared" ref="H742:I742" si="441">SUM(H743)</f>
        <v>4945.3900000000003</v>
      </c>
      <c r="I742" s="14">
        <f t="shared" si="441"/>
        <v>0</v>
      </c>
    </row>
    <row r="743" spans="1:9" ht="40.5" customHeight="1" x14ac:dyDescent="0.25">
      <c r="A743" s="18">
        <f t="shared" si="407"/>
        <v>732</v>
      </c>
      <c r="B743" s="16" t="s">
        <v>302</v>
      </c>
      <c r="C743" s="17" t="s">
        <v>584</v>
      </c>
      <c r="D743" s="17" t="s">
        <v>607</v>
      </c>
      <c r="E743" s="17" t="s">
        <v>303</v>
      </c>
      <c r="F743" s="17"/>
      <c r="G743" s="14">
        <f>SUM(G744)</f>
        <v>0</v>
      </c>
      <c r="H743" s="14">
        <f t="shared" ref="H743:I743" si="442">SUM(H744)</f>
        <v>4945.3900000000003</v>
      </c>
      <c r="I743" s="14">
        <f t="shared" si="442"/>
        <v>0</v>
      </c>
    </row>
    <row r="744" spans="1:9" ht="54" x14ac:dyDescent="0.25">
      <c r="A744" s="18">
        <f t="shared" si="407"/>
        <v>733</v>
      </c>
      <c r="B744" s="16" t="s">
        <v>769</v>
      </c>
      <c r="C744" s="17" t="s">
        <v>584</v>
      </c>
      <c r="D744" s="17" t="s">
        <v>607</v>
      </c>
      <c r="E744" s="17" t="s">
        <v>765</v>
      </c>
      <c r="F744" s="17"/>
      <c r="G744" s="14">
        <f>SUM(G745)</f>
        <v>0</v>
      </c>
      <c r="H744" s="14">
        <f t="shared" ref="H744:I744" si="443">SUM(H745)</f>
        <v>4945.3900000000003</v>
      </c>
      <c r="I744" s="14">
        <f t="shared" si="443"/>
        <v>0</v>
      </c>
    </row>
    <row r="745" spans="1:9" ht="18" x14ac:dyDescent="0.25">
      <c r="A745" s="18">
        <f t="shared" si="407"/>
        <v>734</v>
      </c>
      <c r="B745" s="16" t="s">
        <v>284</v>
      </c>
      <c r="C745" s="17" t="s">
        <v>584</v>
      </c>
      <c r="D745" s="17" t="s">
        <v>607</v>
      </c>
      <c r="E745" s="17" t="s">
        <v>765</v>
      </c>
      <c r="F745" s="17" t="s">
        <v>285</v>
      </c>
      <c r="G745" s="14">
        <v>0</v>
      </c>
      <c r="H745" s="14">
        <v>4945.3900000000003</v>
      </c>
      <c r="I745" s="14">
        <v>0</v>
      </c>
    </row>
    <row r="746" spans="1:9" ht="72" x14ac:dyDescent="0.25">
      <c r="A746" s="18">
        <f t="shared" si="407"/>
        <v>735</v>
      </c>
      <c r="B746" s="16" t="s">
        <v>589</v>
      </c>
      <c r="C746" s="17" t="s">
        <v>584</v>
      </c>
      <c r="D746" s="17" t="s">
        <v>607</v>
      </c>
      <c r="E746" s="17" t="s">
        <v>590</v>
      </c>
      <c r="F746" s="17"/>
      <c r="G746" s="14">
        <f>SUM(G747)</f>
        <v>773113.97</v>
      </c>
      <c r="H746" s="14">
        <f t="shared" ref="H746:I746" si="444">SUM(H747)</f>
        <v>722742.6</v>
      </c>
      <c r="I746" s="14">
        <f t="shared" si="444"/>
        <v>768446.8</v>
      </c>
    </row>
    <row r="747" spans="1:9" ht="54" x14ac:dyDescent="0.25">
      <c r="A747" s="18">
        <f t="shared" si="407"/>
        <v>736</v>
      </c>
      <c r="B747" s="16" t="s">
        <v>608</v>
      </c>
      <c r="C747" s="17" t="s">
        <v>584</v>
      </c>
      <c r="D747" s="17" t="s">
        <v>607</v>
      </c>
      <c r="E747" s="17" t="s">
        <v>609</v>
      </c>
      <c r="F747" s="17"/>
      <c r="G747" s="14">
        <f>SUM(G748+G751+G754+G757+G760+G763+G768+G771+G773+G776+G779+G782+G766+G785)</f>
        <v>773113.97</v>
      </c>
      <c r="H747" s="14">
        <f t="shared" ref="H747:I747" si="445">SUM(H748+H751+H754+H757+H760+H763+H768+H771+H773+H776+H779+H782+H766+H785)</f>
        <v>722742.6</v>
      </c>
      <c r="I747" s="14">
        <f t="shared" si="445"/>
        <v>768446.8</v>
      </c>
    </row>
    <row r="748" spans="1:9" ht="235.5" customHeight="1" x14ac:dyDescent="0.25">
      <c r="A748" s="18">
        <f t="shared" si="407"/>
        <v>737</v>
      </c>
      <c r="B748" s="16" t="s">
        <v>610</v>
      </c>
      <c r="C748" s="17" t="s">
        <v>584</v>
      </c>
      <c r="D748" s="17" t="s">
        <v>607</v>
      </c>
      <c r="E748" s="17" t="s">
        <v>611</v>
      </c>
      <c r="F748" s="17"/>
      <c r="G748" s="14">
        <f>SUM(G749:G750)</f>
        <v>431653.5</v>
      </c>
      <c r="H748" s="14">
        <f t="shared" ref="H748:I748" si="446">SUM(H749:H750)</f>
        <v>440107</v>
      </c>
      <c r="I748" s="14">
        <f t="shared" si="446"/>
        <v>466863</v>
      </c>
    </row>
    <row r="749" spans="1:9" ht="36" x14ac:dyDescent="0.25">
      <c r="A749" s="18">
        <f t="shared" si="407"/>
        <v>738</v>
      </c>
      <c r="B749" s="16" t="s">
        <v>157</v>
      </c>
      <c r="C749" s="17" t="s">
        <v>584</v>
      </c>
      <c r="D749" s="17" t="s">
        <v>607</v>
      </c>
      <c r="E749" s="17" t="s">
        <v>611</v>
      </c>
      <c r="F749" s="17" t="s">
        <v>158</v>
      </c>
      <c r="G749" s="14">
        <f>237606.8+12259.6</f>
        <v>249866.4</v>
      </c>
      <c r="H749" s="14">
        <v>252442</v>
      </c>
      <c r="I749" s="14">
        <v>267789</v>
      </c>
    </row>
    <row r="750" spans="1:9" ht="36" x14ac:dyDescent="0.25">
      <c r="A750" s="18">
        <f t="shared" si="407"/>
        <v>739</v>
      </c>
      <c r="B750" s="16" t="s">
        <v>272</v>
      </c>
      <c r="C750" s="17" t="s">
        <v>584</v>
      </c>
      <c r="D750" s="17" t="s">
        <v>607</v>
      </c>
      <c r="E750" s="17" t="s">
        <v>611</v>
      </c>
      <c r="F750" s="17" t="s">
        <v>273</v>
      </c>
      <c r="G750" s="14">
        <f>175783.2+6003.9</f>
        <v>181787.1</v>
      </c>
      <c r="H750" s="14">
        <v>187665</v>
      </c>
      <c r="I750" s="14">
        <v>199074</v>
      </c>
    </row>
    <row r="751" spans="1:9" ht="238.5" customHeight="1" x14ac:dyDescent="0.25">
      <c r="A751" s="18">
        <f t="shared" si="407"/>
        <v>740</v>
      </c>
      <c r="B751" s="16" t="s">
        <v>612</v>
      </c>
      <c r="C751" s="17" t="s">
        <v>584</v>
      </c>
      <c r="D751" s="17" t="s">
        <v>607</v>
      </c>
      <c r="E751" s="17" t="s">
        <v>613</v>
      </c>
      <c r="F751" s="17"/>
      <c r="G751" s="14">
        <f>SUM(G752:G753)</f>
        <v>18205</v>
      </c>
      <c r="H751" s="14">
        <f t="shared" ref="H751:I751" si="447">SUM(H752:H753)</f>
        <v>18933</v>
      </c>
      <c r="I751" s="14">
        <f t="shared" si="447"/>
        <v>19690</v>
      </c>
    </row>
    <row r="752" spans="1:9" ht="36" x14ac:dyDescent="0.25">
      <c r="A752" s="18">
        <f t="shared" si="407"/>
        <v>741</v>
      </c>
      <c r="B752" s="16" t="s">
        <v>157</v>
      </c>
      <c r="C752" s="17" t="s">
        <v>584</v>
      </c>
      <c r="D752" s="17" t="s">
        <v>607</v>
      </c>
      <c r="E752" s="17" t="s">
        <v>613</v>
      </c>
      <c r="F752" s="17" t="s">
        <v>158</v>
      </c>
      <c r="G752" s="14">
        <f>9814+265</f>
        <v>10079</v>
      </c>
      <c r="H752" s="14">
        <v>10207</v>
      </c>
      <c r="I752" s="14">
        <v>10615</v>
      </c>
    </row>
    <row r="753" spans="1:9" ht="36" x14ac:dyDescent="0.25">
      <c r="A753" s="18">
        <f t="shared" si="407"/>
        <v>742</v>
      </c>
      <c r="B753" s="16" t="s">
        <v>272</v>
      </c>
      <c r="C753" s="17" t="s">
        <v>584</v>
      </c>
      <c r="D753" s="17" t="s">
        <v>607</v>
      </c>
      <c r="E753" s="17" t="s">
        <v>613</v>
      </c>
      <c r="F753" s="17" t="s">
        <v>273</v>
      </c>
      <c r="G753" s="14">
        <f>8391-265</f>
        <v>8126</v>
      </c>
      <c r="H753" s="14">
        <v>8726</v>
      </c>
      <c r="I753" s="14">
        <v>9075</v>
      </c>
    </row>
    <row r="754" spans="1:9" ht="90" x14ac:dyDescent="0.25">
      <c r="A754" s="18">
        <f t="shared" si="407"/>
        <v>743</v>
      </c>
      <c r="B754" s="16" t="s">
        <v>614</v>
      </c>
      <c r="C754" s="17" t="s">
        <v>584</v>
      </c>
      <c r="D754" s="17" t="s">
        <v>607</v>
      </c>
      <c r="E754" s="17" t="s">
        <v>615</v>
      </c>
      <c r="F754" s="17"/>
      <c r="G754" s="14">
        <f>SUM(G755:G756)</f>
        <v>47339.7</v>
      </c>
      <c r="H754" s="14">
        <f t="shared" ref="H754:I754" si="448">SUM(H755:H756)</f>
        <v>49230.3</v>
      </c>
      <c r="I754" s="14">
        <f t="shared" si="448"/>
        <v>51196.3</v>
      </c>
    </row>
    <row r="755" spans="1:9" ht="36" x14ac:dyDescent="0.25">
      <c r="A755" s="18">
        <f t="shared" si="407"/>
        <v>744</v>
      </c>
      <c r="B755" s="16" t="s">
        <v>157</v>
      </c>
      <c r="C755" s="17" t="s">
        <v>584</v>
      </c>
      <c r="D755" s="17" t="s">
        <v>607</v>
      </c>
      <c r="E755" s="17" t="s">
        <v>615</v>
      </c>
      <c r="F755" s="17" t="s">
        <v>158</v>
      </c>
      <c r="G755" s="14">
        <f>24361.2+45</f>
        <v>24406.2</v>
      </c>
      <c r="H755" s="14">
        <v>25380</v>
      </c>
      <c r="I755" s="14">
        <v>26395</v>
      </c>
    </row>
    <row r="756" spans="1:9" ht="36" x14ac:dyDescent="0.25">
      <c r="A756" s="18">
        <f t="shared" si="407"/>
        <v>745</v>
      </c>
      <c r="B756" s="16" t="s">
        <v>272</v>
      </c>
      <c r="C756" s="17" t="s">
        <v>584</v>
      </c>
      <c r="D756" s="17" t="s">
        <v>607</v>
      </c>
      <c r="E756" s="17" t="s">
        <v>615</v>
      </c>
      <c r="F756" s="17" t="s">
        <v>273</v>
      </c>
      <c r="G756" s="14">
        <f>22978.5-45</f>
        <v>22933.5</v>
      </c>
      <c r="H756" s="14">
        <v>23850.3</v>
      </c>
      <c r="I756" s="14">
        <v>24801.3</v>
      </c>
    </row>
    <row r="757" spans="1:9" ht="72" x14ac:dyDescent="0.25">
      <c r="A757" s="18">
        <f t="shared" si="407"/>
        <v>746</v>
      </c>
      <c r="B757" s="16" t="s">
        <v>616</v>
      </c>
      <c r="C757" s="17" t="s">
        <v>584</v>
      </c>
      <c r="D757" s="17" t="s">
        <v>607</v>
      </c>
      <c r="E757" s="17" t="s">
        <v>617</v>
      </c>
      <c r="F757" s="17"/>
      <c r="G757" s="14">
        <f>SUM(G758:G759)</f>
        <v>881.5</v>
      </c>
      <c r="H757" s="14">
        <f t="shared" ref="H757:I757" si="449">SUM(H758:H759)</f>
        <v>0</v>
      </c>
      <c r="I757" s="14">
        <f t="shared" si="449"/>
        <v>0</v>
      </c>
    </row>
    <row r="758" spans="1:9" ht="36" x14ac:dyDescent="0.25">
      <c r="A758" s="18">
        <f t="shared" si="407"/>
        <v>747</v>
      </c>
      <c r="B758" s="16" t="s">
        <v>157</v>
      </c>
      <c r="C758" s="17" t="s">
        <v>584</v>
      </c>
      <c r="D758" s="17" t="s">
        <v>607</v>
      </c>
      <c r="E758" s="17" t="s">
        <v>617</v>
      </c>
      <c r="F758" s="17" t="s">
        <v>158</v>
      </c>
      <c r="G758" s="14">
        <f>449.9-15.87</f>
        <v>434.03</v>
      </c>
      <c r="H758" s="14">
        <v>0</v>
      </c>
      <c r="I758" s="14">
        <v>0</v>
      </c>
    </row>
    <row r="759" spans="1:9" ht="36" x14ac:dyDescent="0.25">
      <c r="A759" s="18">
        <f t="shared" ref="A759:A837" si="450">SUM(A758+1)</f>
        <v>748</v>
      </c>
      <c r="B759" s="16" t="s">
        <v>272</v>
      </c>
      <c r="C759" s="17" t="s">
        <v>584</v>
      </c>
      <c r="D759" s="17" t="s">
        <v>607</v>
      </c>
      <c r="E759" s="17" t="s">
        <v>617</v>
      </c>
      <c r="F759" s="17" t="s">
        <v>273</v>
      </c>
      <c r="G759" s="14">
        <f>431.6+15.87</f>
        <v>447.47</v>
      </c>
      <c r="H759" s="14">
        <v>0</v>
      </c>
      <c r="I759" s="14">
        <v>0</v>
      </c>
    </row>
    <row r="760" spans="1:9" ht="71.25" customHeight="1" x14ac:dyDescent="0.25">
      <c r="A760" s="18">
        <f t="shared" si="450"/>
        <v>749</v>
      </c>
      <c r="B760" s="16" t="s">
        <v>618</v>
      </c>
      <c r="C760" s="17" t="s">
        <v>584</v>
      </c>
      <c r="D760" s="17" t="s">
        <v>607</v>
      </c>
      <c r="E760" s="17" t="s">
        <v>619</v>
      </c>
      <c r="F760" s="17"/>
      <c r="G760" s="14">
        <f>SUM(G761:G762)</f>
        <v>176125.77000000002</v>
      </c>
      <c r="H760" s="14">
        <f t="shared" ref="H760:I760" si="451">SUM(H761:H762)</f>
        <v>180746</v>
      </c>
      <c r="I760" s="14">
        <f t="shared" si="451"/>
        <v>183093.2</v>
      </c>
    </row>
    <row r="761" spans="1:9" ht="36" x14ac:dyDescent="0.25">
      <c r="A761" s="18">
        <f t="shared" si="450"/>
        <v>750</v>
      </c>
      <c r="B761" s="16" t="s">
        <v>157</v>
      </c>
      <c r="C761" s="17" t="s">
        <v>584</v>
      </c>
      <c r="D761" s="17" t="s">
        <v>607</v>
      </c>
      <c r="E761" s="17" t="s">
        <v>619</v>
      </c>
      <c r="F761" s="17" t="s">
        <v>158</v>
      </c>
      <c r="G761" s="14">
        <f>99659.2-432.64</f>
        <v>99226.559999999998</v>
      </c>
      <c r="H761" s="14">
        <v>102864</v>
      </c>
      <c r="I761" s="14">
        <v>103493.2</v>
      </c>
    </row>
    <row r="762" spans="1:9" ht="36" x14ac:dyDescent="0.25">
      <c r="A762" s="18">
        <f t="shared" si="450"/>
        <v>751</v>
      </c>
      <c r="B762" s="16" t="s">
        <v>272</v>
      </c>
      <c r="C762" s="17" t="s">
        <v>584</v>
      </c>
      <c r="D762" s="17" t="s">
        <v>607</v>
      </c>
      <c r="E762" s="17" t="s">
        <v>619</v>
      </c>
      <c r="F762" s="17" t="s">
        <v>273</v>
      </c>
      <c r="G762" s="14">
        <v>76899.210000000006</v>
      </c>
      <c r="H762" s="14">
        <v>77882</v>
      </c>
      <c r="I762" s="14">
        <v>79600</v>
      </c>
    </row>
    <row r="763" spans="1:9" ht="168.75" customHeight="1" x14ac:dyDescent="0.25">
      <c r="A763" s="18">
        <f t="shared" si="450"/>
        <v>752</v>
      </c>
      <c r="B763" s="16" t="s">
        <v>845</v>
      </c>
      <c r="C763" s="17" t="s">
        <v>584</v>
      </c>
      <c r="D763" s="17" t="s">
        <v>607</v>
      </c>
      <c r="E763" s="17" t="s">
        <v>620</v>
      </c>
      <c r="F763" s="17"/>
      <c r="G763" s="14">
        <f>SUM(G764:G765)</f>
        <v>10212.570000000002</v>
      </c>
      <c r="H763" s="14">
        <f t="shared" ref="H763:I763" si="452">SUM(H764:H765)</f>
        <v>5835.7</v>
      </c>
      <c r="I763" s="14">
        <f t="shared" si="452"/>
        <v>15000</v>
      </c>
    </row>
    <row r="764" spans="1:9" ht="36" x14ac:dyDescent="0.25">
      <c r="A764" s="18">
        <f t="shared" si="450"/>
        <v>753</v>
      </c>
      <c r="B764" s="16" t="s">
        <v>157</v>
      </c>
      <c r="C764" s="17" t="s">
        <v>584</v>
      </c>
      <c r="D764" s="17" t="s">
        <v>607</v>
      </c>
      <c r="E764" s="17" t="s">
        <v>620</v>
      </c>
      <c r="F764" s="17" t="s">
        <v>158</v>
      </c>
      <c r="G764" s="14">
        <f>8718.92+130.29</f>
        <v>8849.2100000000009</v>
      </c>
      <c r="H764" s="14">
        <v>3000</v>
      </c>
      <c r="I764" s="14">
        <v>10000</v>
      </c>
    </row>
    <row r="765" spans="1:9" ht="36" x14ac:dyDescent="0.25">
      <c r="A765" s="18">
        <f t="shared" si="450"/>
        <v>754</v>
      </c>
      <c r="B765" s="16" t="s">
        <v>272</v>
      </c>
      <c r="C765" s="17" t="s">
        <v>584</v>
      </c>
      <c r="D765" s="17" t="s">
        <v>607</v>
      </c>
      <c r="E765" s="17" t="s">
        <v>620</v>
      </c>
      <c r="F765" s="17" t="s">
        <v>273</v>
      </c>
      <c r="G765" s="14">
        <f>2063.66-814.71+114.41</f>
        <v>1363.36</v>
      </c>
      <c r="H765" s="14">
        <v>2835.7</v>
      </c>
      <c r="I765" s="14">
        <v>5000</v>
      </c>
    </row>
    <row r="766" spans="1:9" ht="72" x14ac:dyDescent="0.25">
      <c r="A766" s="18">
        <f t="shared" si="450"/>
        <v>755</v>
      </c>
      <c r="B766" s="16" t="s">
        <v>821</v>
      </c>
      <c r="C766" s="17" t="s">
        <v>584</v>
      </c>
      <c r="D766" s="17" t="s">
        <v>607</v>
      </c>
      <c r="E766" s="27" t="s">
        <v>820</v>
      </c>
      <c r="F766" s="17"/>
      <c r="G766" s="14">
        <f>SUM(G767)</f>
        <v>422</v>
      </c>
      <c r="H766" s="14">
        <f t="shared" ref="H766:I766" si="453">SUM(H767)</f>
        <v>0</v>
      </c>
      <c r="I766" s="14">
        <f t="shared" si="453"/>
        <v>0</v>
      </c>
    </row>
    <row r="767" spans="1:9" ht="36" x14ac:dyDescent="0.25">
      <c r="A767" s="18">
        <f t="shared" si="450"/>
        <v>756</v>
      </c>
      <c r="B767" s="16" t="s">
        <v>157</v>
      </c>
      <c r="C767" s="17" t="s">
        <v>584</v>
      </c>
      <c r="D767" s="17" t="s">
        <v>607</v>
      </c>
      <c r="E767" s="27" t="s">
        <v>820</v>
      </c>
      <c r="F767" s="17">
        <v>610</v>
      </c>
      <c r="G767" s="14">
        <v>422</v>
      </c>
      <c r="H767" s="14">
        <v>0</v>
      </c>
      <c r="I767" s="14">
        <v>0</v>
      </c>
    </row>
    <row r="768" spans="1:9" ht="153.75" customHeight="1" x14ac:dyDescent="0.25">
      <c r="A768" s="18">
        <f t="shared" si="450"/>
        <v>757</v>
      </c>
      <c r="B768" s="16" t="s">
        <v>621</v>
      </c>
      <c r="C768" s="17" t="s">
        <v>584</v>
      </c>
      <c r="D768" s="17" t="s">
        <v>607</v>
      </c>
      <c r="E768" s="17" t="s">
        <v>622</v>
      </c>
      <c r="F768" s="17"/>
      <c r="G768" s="14">
        <f>SUM(G769:G770)</f>
        <v>3337.9300000000003</v>
      </c>
      <c r="H768" s="14">
        <f t="shared" ref="H768:I768" si="454">SUM(H769:H770)</f>
        <v>0</v>
      </c>
      <c r="I768" s="14">
        <f t="shared" si="454"/>
        <v>5000</v>
      </c>
    </row>
    <row r="769" spans="1:9" ht="36" x14ac:dyDescent="0.25">
      <c r="A769" s="18">
        <f t="shared" si="450"/>
        <v>758</v>
      </c>
      <c r="B769" s="16" t="s">
        <v>157</v>
      </c>
      <c r="C769" s="17" t="s">
        <v>584</v>
      </c>
      <c r="D769" s="17" t="s">
        <v>607</v>
      </c>
      <c r="E769" s="17" t="s">
        <v>622</v>
      </c>
      <c r="F769" s="17" t="s">
        <v>158</v>
      </c>
      <c r="G769" s="14">
        <v>685.45</v>
      </c>
      <c r="H769" s="14">
        <v>0</v>
      </c>
      <c r="I769" s="14">
        <v>5000</v>
      </c>
    </row>
    <row r="770" spans="1:9" ht="36" x14ac:dyDescent="0.25">
      <c r="A770" s="18">
        <f t="shared" si="450"/>
        <v>759</v>
      </c>
      <c r="B770" s="16" t="s">
        <v>272</v>
      </c>
      <c r="C770" s="17" t="s">
        <v>584</v>
      </c>
      <c r="D770" s="17" t="s">
        <v>607</v>
      </c>
      <c r="E770" s="17" t="s">
        <v>622</v>
      </c>
      <c r="F770" s="17" t="s">
        <v>273</v>
      </c>
      <c r="G770" s="14">
        <f>1837.77+814.71</f>
        <v>2652.48</v>
      </c>
      <c r="H770" s="14">
        <v>0</v>
      </c>
      <c r="I770" s="14">
        <v>0</v>
      </c>
    </row>
    <row r="771" spans="1:9" ht="108" x14ac:dyDescent="0.25">
      <c r="A771" s="18">
        <f t="shared" si="450"/>
        <v>760</v>
      </c>
      <c r="B771" s="16" t="s">
        <v>623</v>
      </c>
      <c r="C771" s="17" t="s">
        <v>584</v>
      </c>
      <c r="D771" s="17" t="s">
        <v>607</v>
      </c>
      <c r="E771" s="17" t="s">
        <v>624</v>
      </c>
      <c r="F771" s="17"/>
      <c r="G771" s="14">
        <f>SUM(G772)</f>
        <v>112</v>
      </c>
      <c r="H771" s="14">
        <f t="shared" ref="H771:I771" si="455">SUM(H772)</f>
        <v>208</v>
      </c>
      <c r="I771" s="14">
        <f t="shared" si="455"/>
        <v>208</v>
      </c>
    </row>
    <row r="772" spans="1:9" ht="18" x14ac:dyDescent="0.25">
      <c r="A772" s="18">
        <f t="shared" si="450"/>
        <v>761</v>
      </c>
      <c r="B772" s="16" t="s">
        <v>177</v>
      </c>
      <c r="C772" s="17" t="s">
        <v>584</v>
      </c>
      <c r="D772" s="17" t="s">
        <v>607</v>
      </c>
      <c r="E772" s="17" t="s">
        <v>624</v>
      </c>
      <c r="F772" s="17" t="s">
        <v>178</v>
      </c>
      <c r="G772" s="14">
        <f>208-96</f>
        <v>112</v>
      </c>
      <c r="H772" s="14">
        <v>208</v>
      </c>
      <c r="I772" s="14">
        <v>208</v>
      </c>
    </row>
    <row r="773" spans="1:9" ht="200.25" customHeight="1" x14ac:dyDescent="0.25">
      <c r="A773" s="18">
        <f t="shared" si="450"/>
        <v>762</v>
      </c>
      <c r="B773" s="16" t="s">
        <v>625</v>
      </c>
      <c r="C773" s="17" t="s">
        <v>584</v>
      </c>
      <c r="D773" s="17" t="s">
        <v>607</v>
      </c>
      <c r="E773" s="17" t="s">
        <v>626</v>
      </c>
      <c r="F773" s="17"/>
      <c r="G773" s="14">
        <f>SUM(G774:G775)</f>
        <v>44170.399999999994</v>
      </c>
      <c r="H773" s="14">
        <f t="shared" ref="H773:I773" si="456">SUM(H774:H775)</f>
        <v>0</v>
      </c>
      <c r="I773" s="14">
        <f t="shared" si="456"/>
        <v>0</v>
      </c>
    </row>
    <row r="774" spans="1:9" ht="36" x14ac:dyDescent="0.25">
      <c r="A774" s="18">
        <f t="shared" si="450"/>
        <v>763</v>
      </c>
      <c r="B774" s="16" t="s">
        <v>157</v>
      </c>
      <c r="C774" s="17" t="s">
        <v>584</v>
      </c>
      <c r="D774" s="17" t="s">
        <v>607</v>
      </c>
      <c r="E774" s="17" t="s">
        <v>626</v>
      </c>
      <c r="F774" s="17" t="s">
        <v>158</v>
      </c>
      <c r="G774" s="14">
        <f>16560.2+9163.5</f>
        <v>25723.7</v>
      </c>
      <c r="H774" s="14">
        <v>0</v>
      </c>
      <c r="I774" s="14">
        <v>0</v>
      </c>
    </row>
    <row r="775" spans="1:9" ht="36" x14ac:dyDescent="0.25">
      <c r="A775" s="18">
        <f t="shared" si="450"/>
        <v>764</v>
      </c>
      <c r="B775" s="16" t="s">
        <v>272</v>
      </c>
      <c r="C775" s="17" t="s">
        <v>584</v>
      </c>
      <c r="D775" s="17" t="s">
        <v>607</v>
      </c>
      <c r="E775" s="17" t="s">
        <v>626</v>
      </c>
      <c r="F775" s="17" t="s">
        <v>273</v>
      </c>
      <c r="G775" s="14">
        <f>11738.8+6707.9</f>
        <v>18446.699999999997</v>
      </c>
      <c r="H775" s="14">
        <v>0</v>
      </c>
      <c r="I775" s="14">
        <v>0</v>
      </c>
    </row>
    <row r="776" spans="1:9" ht="108" x14ac:dyDescent="0.25">
      <c r="A776" s="18">
        <f t="shared" si="450"/>
        <v>765</v>
      </c>
      <c r="B776" s="16" t="s">
        <v>627</v>
      </c>
      <c r="C776" s="17" t="s">
        <v>584</v>
      </c>
      <c r="D776" s="17" t="s">
        <v>607</v>
      </c>
      <c r="E776" s="17" t="s">
        <v>628</v>
      </c>
      <c r="F776" s="17"/>
      <c r="G776" s="14">
        <f>SUM(G777:G778)</f>
        <v>27442.7</v>
      </c>
      <c r="H776" s="14">
        <f t="shared" ref="H776:I776" si="457">SUM(H777:H778)</f>
        <v>27682.6</v>
      </c>
      <c r="I776" s="14">
        <f t="shared" si="457"/>
        <v>27396.3</v>
      </c>
    </row>
    <row r="777" spans="1:9" ht="36" x14ac:dyDescent="0.25">
      <c r="A777" s="18">
        <f t="shared" si="450"/>
        <v>766</v>
      </c>
      <c r="B777" s="16" t="s">
        <v>157</v>
      </c>
      <c r="C777" s="17" t="s">
        <v>584</v>
      </c>
      <c r="D777" s="17" t="s">
        <v>607</v>
      </c>
      <c r="E777" s="17" t="s">
        <v>628</v>
      </c>
      <c r="F777" s="17" t="s">
        <v>158</v>
      </c>
      <c r="G777" s="14">
        <v>14449.7</v>
      </c>
      <c r="H777" s="14">
        <v>14525</v>
      </c>
      <c r="I777" s="14">
        <v>14361.82</v>
      </c>
    </row>
    <row r="778" spans="1:9" ht="36" x14ac:dyDescent="0.25">
      <c r="A778" s="18">
        <f t="shared" si="450"/>
        <v>767</v>
      </c>
      <c r="B778" s="16" t="s">
        <v>272</v>
      </c>
      <c r="C778" s="17" t="s">
        <v>584</v>
      </c>
      <c r="D778" s="17" t="s">
        <v>607</v>
      </c>
      <c r="E778" s="17" t="s">
        <v>628</v>
      </c>
      <c r="F778" s="17" t="s">
        <v>273</v>
      </c>
      <c r="G778" s="14">
        <v>12993</v>
      </c>
      <c r="H778" s="14">
        <v>13157.6</v>
      </c>
      <c r="I778" s="14">
        <v>13034.48</v>
      </c>
    </row>
    <row r="779" spans="1:9" ht="72" x14ac:dyDescent="0.25">
      <c r="A779" s="18">
        <f t="shared" si="450"/>
        <v>768</v>
      </c>
      <c r="B779" s="16" t="s">
        <v>616</v>
      </c>
      <c r="C779" s="17" t="s">
        <v>584</v>
      </c>
      <c r="D779" s="17" t="s">
        <v>607</v>
      </c>
      <c r="E779" s="17" t="s">
        <v>629</v>
      </c>
      <c r="F779" s="17"/>
      <c r="G779" s="14">
        <f>SUM(G780:G781)</f>
        <v>881.5</v>
      </c>
      <c r="H779" s="14">
        <f t="shared" ref="H779:I779" si="458">SUM(H780:H781)</f>
        <v>0</v>
      </c>
      <c r="I779" s="14">
        <f t="shared" si="458"/>
        <v>0</v>
      </c>
    </row>
    <row r="780" spans="1:9" ht="36" x14ac:dyDescent="0.25">
      <c r="A780" s="18">
        <f t="shared" si="450"/>
        <v>769</v>
      </c>
      <c r="B780" s="16" t="s">
        <v>157</v>
      </c>
      <c r="C780" s="17" t="s">
        <v>584</v>
      </c>
      <c r="D780" s="17" t="s">
        <v>607</v>
      </c>
      <c r="E780" s="17" t="s">
        <v>629</v>
      </c>
      <c r="F780" s="17" t="s">
        <v>158</v>
      </c>
      <c r="G780" s="14">
        <f>449.9-15.87</f>
        <v>434.03</v>
      </c>
      <c r="H780" s="14">
        <v>0</v>
      </c>
      <c r="I780" s="14">
        <v>0</v>
      </c>
    </row>
    <row r="781" spans="1:9" ht="36" x14ac:dyDescent="0.25">
      <c r="A781" s="18">
        <f t="shared" si="450"/>
        <v>770</v>
      </c>
      <c r="B781" s="16" t="s">
        <v>272</v>
      </c>
      <c r="C781" s="17" t="s">
        <v>584</v>
      </c>
      <c r="D781" s="17" t="s">
        <v>607</v>
      </c>
      <c r="E781" s="17" t="s">
        <v>629</v>
      </c>
      <c r="F781" s="17" t="s">
        <v>273</v>
      </c>
      <c r="G781" s="14">
        <f>431.6+15.87</f>
        <v>447.47</v>
      </c>
      <c r="H781" s="14">
        <v>0</v>
      </c>
      <c r="I781" s="14">
        <v>0</v>
      </c>
    </row>
    <row r="782" spans="1:9" ht="110.25" customHeight="1" x14ac:dyDescent="0.25">
      <c r="A782" s="18">
        <f t="shared" si="450"/>
        <v>771</v>
      </c>
      <c r="B782" s="16" t="s">
        <v>630</v>
      </c>
      <c r="C782" s="17" t="s">
        <v>584</v>
      </c>
      <c r="D782" s="17" t="s">
        <v>607</v>
      </c>
      <c r="E782" s="17" t="s">
        <v>631</v>
      </c>
      <c r="F782" s="17"/>
      <c r="G782" s="14">
        <f>SUM(G783:G784)</f>
        <v>12000</v>
      </c>
      <c r="H782" s="14">
        <f t="shared" ref="H782:I782" si="459">SUM(H783:H784)</f>
        <v>0</v>
      </c>
      <c r="I782" s="14">
        <f t="shared" si="459"/>
        <v>0</v>
      </c>
    </row>
    <row r="783" spans="1:9" ht="36" x14ac:dyDescent="0.25">
      <c r="A783" s="18">
        <f t="shared" si="450"/>
        <v>772</v>
      </c>
      <c r="B783" s="16" t="s">
        <v>157</v>
      </c>
      <c r="C783" s="17" t="s">
        <v>584</v>
      </c>
      <c r="D783" s="17" t="s">
        <v>607</v>
      </c>
      <c r="E783" s="17" t="s">
        <v>631</v>
      </c>
      <c r="F783" s="17" t="s">
        <v>158</v>
      </c>
      <c r="G783" s="14">
        <v>8000</v>
      </c>
      <c r="H783" s="14">
        <v>0</v>
      </c>
      <c r="I783" s="14">
        <v>0</v>
      </c>
    </row>
    <row r="784" spans="1:9" ht="36" x14ac:dyDescent="0.25">
      <c r="A784" s="18">
        <f t="shared" si="450"/>
        <v>773</v>
      </c>
      <c r="B784" s="16" t="s">
        <v>272</v>
      </c>
      <c r="C784" s="17" t="s">
        <v>584</v>
      </c>
      <c r="D784" s="17" t="s">
        <v>607</v>
      </c>
      <c r="E784" s="17" t="s">
        <v>631</v>
      </c>
      <c r="F784" s="17" t="s">
        <v>273</v>
      </c>
      <c r="G784" s="14">
        <v>4000</v>
      </c>
      <c r="H784" s="14">
        <v>0</v>
      </c>
      <c r="I784" s="14">
        <v>0</v>
      </c>
    </row>
    <row r="785" spans="1:9" ht="200.25" customHeight="1" x14ac:dyDescent="0.25">
      <c r="A785" s="18">
        <f t="shared" si="450"/>
        <v>774</v>
      </c>
      <c r="B785" s="16" t="s">
        <v>897</v>
      </c>
      <c r="C785" s="17" t="s">
        <v>584</v>
      </c>
      <c r="D785" s="17" t="s">
        <v>607</v>
      </c>
      <c r="E785" s="27" t="s">
        <v>896</v>
      </c>
      <c r="F785" s="17"/>
      <c r="G785" s="14">
        <f>SUM(G786:G787)</f>
        <v>329.4</v>
      </c>
      <c r="H785" s="14">
        <f t="shared" ref="H785:I785" si="460">SUM(H786:H787)</f>
        <v>0</v>
      </c>
      <c r="I785" s="14">
        <f t="shared" si="460"/>
        <v>0</v>
      </c>
    </row>
    <row r="786" spans="1:9" ht="36" x14ac:dyDescent="0.25">
      <c r="A786" s="18">
        <f t="shared" si="450"/>
        <v>775</v>
      </c>
      <c r="B786" s="16" t="s">
        <v>157</v>
      </c>
      <c r="C786" s="17" t="s">
        <v>584</v>
      </c>
      <c r="D786" s="17" t="s">
        <v>607</v>
      </c>
      <c r="E786" s="27" t="s">
        <v>896</v>
      </c>
      <c r="F786" s="17">
        <v>610</v>
      </c>
      <c r="G786" s="14">
        <v>209.62</v>
      </c>
      <c r="H786" s="14">
        <v>0</v>
      </c>
      <c r="I786" s="14">
        <v>0</v>
      </c>
    </row>
    <row r="787" spans="1:9" ht="36" x14ac:dyDescent="0.25">
      <c r="A787" s="18">
        <f t="shared" si="450"/>
        <v>776</v>
      </c>
      <c r="B787" s="16" t="s">
        <v>272</v>
      </c>
      <c r="C787" s="17" t="s">
        <v>584</v>
      </c>
      <c r="D787" s="17" t="s">
        <v>607</v>
      </c>
      <c r="E787" s="27" t="s">
        <v>896</v>
      </c>
      <c r="F787" s="17">
        <v>620</v>
      </c>
      <c r="G787" s="14">
        <v>119.78</v>
      </c>
      <c r="H787" s="14">
        <v>0</v>
      </c>
      <c r="I787" s="14">
        <v>0</v>
      </c>
    </row>
    <row r="788" spans="1:9" ht="72" x14ac:dyDescent="0.25">
      <c r="A788" s="18">
        <f t="shared" si="450"/>
        <v>777</v>
      </c>
      <c r="B788" s="16" t="s">
        <v>80</v>
      </c>
      <c r="C788" s="17" t="s">
        <v>584</v>
      </c>
      <c r="D788" s="17" t="s">
        <v>607</v>
      </c>
      <c r="E788" s="17" t="s">
        <v>81</v>
      </c>
      <c r="F788" s="17"/>
      <c r="G788" s="14">
        <f>SUM(G789)</f>
        <v>1470</v>
      </c>
      <c r="H788" s="14">
        <f t="shared" ref="H788:I788" si="461">SUM(H789)</f>
        <v>0</v>
      </c>
      <c r="I788" s="14">
        <f t="shared" si="461"/>
        <v>0</v>
      </c>
    </row>
    <row r="789" spans="1:9" ht="54" x14ac:dyDescent="0.25">
      <c r="A789" s="18">
        <f t="shared" si="450"/>
        <v>778</v>
      </c>
      <c r="B789" s="16" t="s">
        <v>82</v>
      </c>
      <c r="C789" s="17" t="s">
        <v>584</v>
      </c>
      <c r="D789" s="17" t="s">
        <v>607</v>
      </c>
      <c r="E789" s="17" t="s">
        <v>83</v>
      </c>
      <c r="F789" s="17"/>
      <c r="G789" s="14">
        <f>SUM(G790)</f>
        <v>1470</v>
      </c>
      <c r="H789" s="14">
        <f t="shared" ref="H789:I789" si="462">SUM(H790)</f>
        <v>0</v>
      </c>
      <c r="I789" s="14">
        <f t="shared" si="462"/>
        <v>0</v>
      </c>
    </row>
    <row r="790" spans="1:9" ht="126" x14ac:dyDescent="0.25">
      <c r="A790" s="18">
        <f t="shared" si="450"/>
        <v>779</v>
      </c>
      <c r="B790" s="16" t="s">
        <v>634</v>
      </c>
      <c r="C790" s="17" t="s">
        <v>584</v>
      </c>
      <c r="D790" s="17" t="s">
        <v>607</v>
      </c>
      <c r="E790" s="17" t="s">
        <v>635</v>
      </c>
      <c r="F790" s="17"/>
      <c r="G790" s="14">
        <f>SUM(G791)</f>
        <v>1470</v>
      </c>
      <c r="H790" s="14">
        <f t="shared" ref="H790:I790" si="463">SUM(H791)</f>
        <v>0</v>
      </c>
      <c r="I790" s="14">
        <f t="shared" si="463"/>
        <v>0</v>
      </c>
    </row>
    <row r="791" spans="1:9" ht="36" x14ac:dyDescent="0.25">
      <c r="A791" s="18">
        <f t="shared" si="450"/>
        <v>780</v>
      </c>
      <c r="B791" s="16" t="s">
        <v>157</v>
      </c>
      <c r="C791" s="17" t="s">
        <v>584</v>
      </c>
      <c r="D791" s="17" t="s">
        <v>607</v>
      </c>
      <c r="E791" s="17" t="s">
        <v>635</v>
      </c>
      <c r="F791" s="17" t="s">
        <v>158</v>
      </c>
      <c r="G791" s="14">
        <v>1470</v>
      </c>
      <c r="H791" s="14">
        <v>0</v>
      </c>
      <c r="I791" s="14">
        <v>0</v>
      </c>
    </row>
    <row r="792" spans="1:9" ht="93.75" customHeight="1" x14ac:dyDescent="0.25">
      <c r="A792" s="18">
        <f t="shared" si="450"/>
        <v>781</v>
      </c>
      <c r="B792" s="16" t="s">
        <v>147</v>
      </c>
      <c r="C792" s="17" t="s">
        <v>584</v>
      </c>
      <c r="D792" s="17" t="s">
        <v>607</v>
      </c>
      <c r="E792" s="17" t="s">
        <v>148</v>
      </c>
      <c r="F792" s="17"/>
      <c r="G792" s="14">
        <f>SUM(G793)</f>
        <v>55</v>
      </c>
      <c r="H792" s="14">
        <f t="shared" ref="H792:I792" si="464">SUM(H793)</f>
        <v>65</v>
      </c>
      <c r="I792" s="14">
        <f t="shared" si="464"/>
        <v>65</v>
      </c>
    </row>
    <row r="793" spans="1:9" ht="54" x14ac:dyDescent="0.25">
      <c r="A793" s="18">
        <f t="shared" si="450"/>
        <v>782</v>
      </c>
      <c r="B793" s="16" t="s">
        <v>636</v>
      </c>
      <c r="C793" s="17" t="s">
        <v>584</v>
      </c>
      <c r="D793" s="17" t="s">
        <v>607</v>
      </c>
      <c r="E793" s="17" t="s">
        <v>637</v>
      </c>
      <c r="F793" s="17"/>
      <c r="G793" s="14">
        <f>SUM(G794:G795)</f>
        <v>55</v>
      </c>
      <c r="H793" s="14">
        <f t="shared" ref="H793:I793" si="465">SUM(H794:H795)</f>
        <v>65</v>
      </c>
      <c r="I793" s="14">
        <f t="shared" si="465"/>
        <v>65</v>
      </c>
    </row>
    <row r="794" spans="1:9" ht="36" x14ac:dyDescent="0.25">
      <c r="A794" s="18">
        <f t="shared" si="450"/>
        <v>783</v>
      </c>
      <c r="B794" s="16" t="s">
        <v>157</v>
      </c>
      <c r="C794" s="17" t="s">
        <v>584</v>
      </c>
      <c r="D794" s="17" t="s">
        <v>607</v>
      </c>
      <c r="E794" s="17" t="s">
        <v>637</v>
      </c>
      <c r="F794" s="17" t="s">
        <v>158</v>
      </c>
      <c r="G794" s="14">
        <v>55</v>
      </c>
      <c r="H794" s="14">
        <v>55</v>
      </c>
      <c r="I794" s="14">
        <v>55</v>
      </c>
    </row>
    <row r="795" spans="1:9" ht="36" x14ac:dyDescent="0.25">
      <c r="A795" s="18">
        <f t="shared" si="450"/>
        <v>784</v>
      </c>
      <c r="B795" s="16" t="s">
        <v>272</v>
      </c>
      <c r="C795" s="17" t="s">
        <v>584</v>
      </c>
      <c r="D795" s="17" t="s">
        <v>607</v>
      </c>
      <c r="E795" s="17" t="s">
        <v>637</v>
      </c>
      <c r="F795" s="17" t="s">
        <v>273</v>
      </c>
      <c r="G795" s="14">
        <f>10-10</f>
        <v>0</v>
      </c>
      <c r="H795" s="14">
        <v>10</v>
      </c>
      <c r="I795" s="14">
        <v>10</v>
      </c>
    </row>
    <row r="796" spans="1:9" ht="18" x14ac:dyDescent="0.25">
      <c r="A796" s="18">
        <f t="shared" si="450"/>
        <v>785</v>
      </c>
      <c r="B796" s="16" t="s">
        <v>892</v>
      </c>
      <c r="C796" s="17" t="s">
        <v>584</v>
      </c>
      <c r="D796" s="17" t="s">
        <v>607</v>
      </c>
      <c r="E796" s="17">
        <v>7000000000</v>
      </c>
      <c r="F796" s="17"/>
      <c r="G796" s="14">
        <f>SUM(G797)</f>
        <v>2394.4</v>
      </c>
      <c r="H796" s="14">
        <f t="shared" ref="H796:I796" si="466">SUM(H797)</f>
        <v>0</v>
      </c>
      <c r="I796" s="14">
        <f t="shared" si="466"/>
        <v>0</v>
      </c>
    </row>
    <row r="797" spans="1:9" ht="144" x14ac:dyDescent="0.25">
      <c r="A797" s="18">
        <f t="shared" si="450"/>
        <v>786</v>
      </c>
      <c r="B797" s="16" t="s">
        <v>883</v>
      </c>
      <c r="C797" s="17" t="s">
        <v>584</v>
      </c>
      <c r="D797" s="17" t="s">
        <v>607</v>
      </c>
      <c r="E797" s="17">
        <v>7000140600</v>
      </c>
      <c r="F797" s="17"/>
      <c r="G797" s="14">
        <f>SUM(G798:G799)</f>
        <v>2394.4</v>
      </c>
      <c r="H797" s="14">
        <f t="shared" ref="H797:I797" si="467">SUM(H798:H799)</f>
        <v>0</v>
      </c>
      <c r="I797" s="14">
        <f t="shared" si="467"/>
        <v>0</v>
      </c>
    </row>
    <row r="798" spans="1:9" ht="36" x14ac:dyDescent="0.25">
      <c r="A798" s="18">
        <f t="shared" si="450"/>
        <v>787</v>
      </c>
      <c r="B798" s="16" t="s">
        <v>157</v>
      </c>
      <c r="C798" s="17" t="s">
        <v>584</v>
      </c>
      <c r="D798" s="17" t="s">
        <v>607</v>
      </c>
      <c r="E798" s="17">
        <v>7000140600</v>
      </c>
      <c r="F798" s="17">
        <v>610</v>
      </c>
      <c r="G798" s="14">
        <v>1678.88</v>
      </c>
      <c r="H798" s="14">
        <v>0</v>
      </c>
      <c r="I798" s="14">
        <v>0</v>
      </c>
    </row>
    <row r="799" spans="1:9" ht="36" x14ac:dyDescent="0.25">
      <c r="A799" s="18">
        <f t="shared" si="450"/>
        <v>788</v>
      </c>
      <c r="B799" s="16" t="s">
        <v>272</v>
      </c>
      <c r="C799" s="17" t="s">
        <v>584</v>
      </c>
      <c r="D799" s="17" t="s">
        <v>607</v>
      </c>
      <c r="E799" s="17">
        <v>7000140600</v>
      </c>
      <c r="F799" s="17">
        <v>620</v>
      </c>
      <c r="G799" s="14">
        <v>715.52</v>
      </c>
      <c r="H799" s="14">
        <v>0</v>
      </c>
      <c r="I799" s="14">
        <v>0</v>
      </c>
    </row>
    <row r="800" spans="1:9" ht="36" x14ac:dyDescent="0.25">
      <c r="A800" s="19">
        <f t="shared" si="450"/>
        <v>789</v>
      </c>
      <c r="B800" s="20" t="s">
        <v>638</v>
      </c>
      <c r="C800" s="21" t="s">
        <v>584</v>
      </c>
      <c r="D800" s="21" t="s">
        <v>639</v>
      </c>
      <c r="E800" s="21"/>
      <c r="F800" s="21"/>
      <c r="G800" s="13">
        <f>SUM(G801+G815+G819+G822)</f>
        <v>50247.11</v>
      </c>
      <c r="H800" s="13">
        <f t="shared" ref="H800:I800" si="468">SUM(H801+H815+H819+H822)</f>
        <v>51774.2</v>
      </c>
      <c r="I800" s="13">
        <f t="shared" si="468"/>
        <v>53627.02</v>
      </c>
    </row>
    <row r="801" spans="1:9" ht="72" x14ac:dyDescent="0.25">
      <c r="A801" s="18">
        <f t="shared" si="450"/>
        <v>790</v>
      </c>
      <c r="B801" s="16" t="s">
        <v>589</v>
      </c>
      <c r="C801" s="17" t="s">
        <v>584</v>
      </c>
      <c r="D801" s="17" t="s">
        <v>639</v>
      </c>
      <c r="E801" s="17" t="s">
        <v>590</v>
      </c>
      <c r="F801" s="17"/>
      <c r="G801" s="14">
        <f>SUM(G802+G812)</f>
        <v>49254.54</v>
      </c>
      <c r="H801" s="14">
        <f t="shared" ref="H801:I801" si="469">SUM(H802+H812)</f>
        <v>51774.2</v>
      </c>
      <c r="I801" s="14">
        <f t="shared" si="469"/>
        <v>53627.02</v>
      </c>
    </row>
    <row r="802" spans="1:9" ht="74.25" customHeight="1" x14ac:dyDescent="0.25">
      <c r="A802" s="18">
        <f t="shared" si="450"/>
        <v>791</v>
      </c>
      <c r="B802" s="16" t="s">
        <v>632</v>
      </c>
      <c r="C802" s="17" t="s">
        <v>584</v>
      </c>
      <c r="D802" s="17" t="s">
        <v>639</v>
      </c>
      <c r="E802" s="17" t="s">
        <v>633</v>
      </c>
      <c r="F802" s="17"/>
      <c r="G802" s="14">
        <f>SUM(G803+G806+G808)</f>
        <v>48989.54</v>
      </c>
      <c r="H802" s="14">
        <f t="shared" ref="H802:I802" si="470">SUM(H803+H806+H808)</f>
        <v>51774.2</v>
      </c>
      <c r="I802" s="14">
        <f t="shared" si="470"/>
        <v>53627.02</v>
      </c>
    </row>
    <row r="803" spans="1:9" ht="72" x14ac:dyDescent="0.25">
      <c r="A803" s="18">
        <f t="shared" si="450"/>
        <v>792</v>
      </c>
      <c r="B803" s="16" t="s">
        <v>640</v>
      </c>
      <c r="C803" s="17" t="s">
        <v>584</v>
      </c>
      <c r="D803" s="17" t="s">
        <v>639</v>
      </c>
      <c r="E803" s="17" t="s">
        <v>641</v>
      </c>
      <c r="F803" s="17"/>
      <c r="G803" s="14">
        <f>SUM(G804:G805)</f>
        <v>42948.33</v>
      </c>
      <c r="H803" s="14">
        <f t="shared" ref="H803:I803" si="471">SUM(H804:H805)</f>
        <v>47540.93</v>
      </c>
      <c r="I803" s="14">
        <f t="shared" si="471"/>
        <v>49337.5</v>
      </c>
    </row>
    <row r="804" spans="1:9" ht="36" x14ac:dyDescent="0.25">
      <c r="A804" s="18">
        <f t="shared" si="450"/>
        <v>793</v>
      </c>
      <c r="B804" s="16" t="s">
        <v>157</v>
      </c>
      <c r="C804" s="17" t="s">
        <v>584</v>
      </c>
      <c r="D804" s="17" t="s">
        <v>639</v>
      </c>
      <c r="E804" s="17" t="s">
        <v>641</v>
      </c>
      <c r="F804" s="17" t="s">
        <v>158</v>
      </c>
      <c r="G804" s="14">
        <v>13570.39</v>
      </c>
      <c r="H804" s="14">
        <f>14981.22</f>
        <v>14981.22</v>
      </c>
      <c r="I804" s="14">
        <v>15562.62</v>
      </c>
    </row>
    <row r="805" spans="1:9" ht="36" x14ac:dyDescent="0.25">
      <c r="A805" s="18">
        <f t="shared" si="450"/>
        <v>794</v>
      </c>
      <c r="B805" s="16" t="s">
        <v>272</v>
      </c>
      <c r="C805" s="17" t="s">
        <v>584</v>
      </c>
      <c r="D805" s="17" t="s">
        <v>639</v>
      </c>
      <c r="E805" s="17" t="s">
        <v>641</v>
      </c>
      <c r="F805" s="17" t="s">
        <v>273</v>
      </c>
      <c r="G805" s="14">
        <v>29377.94</v>
      </c>
      <c r="H805" s="14">
        <v>32559.71</v>
      </c>
      <c r="I805" s="14">
        <v>33774.879999999997</v>
      </c>
    </row>
    <row r="806" spans="1:9" ht="147.75" customHeight="1" x14ac:dyDescent="0.25">
      <c r="A806" s="18">
        <f t="shared" si="450"/>
        <v>795</v>
      </c>
      <c r="B806" s="16" t="s">
        <v>770</v>
      </c>
      <c r="C806" s="17" t="s">
        <v>584</v>
      </c>
      <c r="D806" s="17" t="s">
        <v>639</v>
      </c>
      <c r="E806" s="17" t="s">
        <v>771</v>
      </c>
      <c r="F806" s="17"/>
      <c r="G806" s="14">
        <f>SUM(G807)</f>
        <v>835.71</v>
      </c>
      <c r="H806" s="14">
        <f t="shared" ref="H806:I806" si="472">SUM(H807)</f>
        <v>0</v>
      </c>
      <c r="I806" s="14">
        <f t="shared" si="472"/>
        <v>0</v>
      </c>
    </row>
    <row r="807" spans="1:9" ht="36" x14ac:dyDescent="0.25">
      <c r="A807" s="18">
        <f t="shared" si="450"/>
        <v>796</v>
      </c>
      <c r="B807" s="16" t="s">
        <v>157</v>
      </c>
      <c r="C807" s="17" t="s">
        <v>584</v>
      </c>
      <c r="D807" s="17" t="s">
        <v>639</v>
      </c>
      <c r="E807" s="17" t="s">
        <v>771</v>
      </c>
      <c r="F807" s="17" t="s">
        <v>158</v>
      </c>
      <c r="G807" s="14">
        <v>835.71</v>
      </c>
      <c r="H807" s="14">
        <v>0</v>
      </c>
      <c r="I807" s="14">
        <v>0</v>
      </c>
    </row>
    <row r="808" spans="1:9" ht="53.25" customHeight="1" x14ac:dyDescent="0.25">
      <c r="A808" s="18">
        <f t="shared" si="450"/>
        <v>797</v>
      </c>
      <c r="B808" s="16" t="s">
        <v>642</v>
      </c>
      <c r="C808" s="17" t="s">
        <v>584</v>
      </c>
      <c r="D808" s="17" t="s">
        <v>639</v>
      </c>
      <c r="E808" s="17" t="s">
        <v>643</v>
      </c>
      <c r="F808" s="17"/>
      <c r="G808" s="14">
        <f>SUM(G809:G811)</f>
        <v>5205.5</v>
      </c>
      <c r="H808" s="14">
        <f t="shared" ref="H808:I808" si="473">SUM(H809:H811)</f>
        <v>4233.2699999999995</v>
      </c>
      <c r="I808" s="14">
        <f t="shared" si="473"/>
        <v>4289.5199999999995</v>
      </c>
    </row>
    <row r="809" spans="1:9" ht="36" x14ac:dyDescent="0.25">
      <c r="A809" s="18">
        <f t="shared" si="450"/>
        <v>798</v>
      </c>
      <c r="B809" s="16" t="s">
        <v>157</v>
      </c>
      <c r="C809" s="17" t="s">
        <v>584</v>
      </c>
      <c r="D809" s="17" t="s">
        <v>639</v>
      </c>
      <c r="E809" s="17" t="s">
        <v>643</v>
      </c>
      <c r="F809" s="17" t="s">
        <v>158</v>
      </c>
      <c r="G809" s="14">
        <v>1146.6400000000001</v>
      </c>
      <c r="H809" s="14">
        <v>746.62</v>
      </c>
      <c r="I809" s="14">
        <v>773.06</v>
      </c>
    </row>
    <row r="810" spans="1:9" ht="36" x14ac:dyDescent="0.25">
      <c r="A810" s="18">
        <f t="shared" si="450"/>
        <v>799</v>
      </c>
      <c r="B810" s="16" t="s">
        <v>272</v>
      </c>
      <c r="C810" s="17" t="s">
        <v>584</v>
      </c>
      <c r="D810" s="17" t="s">
        <v>639</v>
      </c>
      <c r="E810" s="17" t="s">
        <v>643</v>
      </c>
      <c r="F810" s="17" t="s">
        <v>273</v>
      </c>
      <c r="G810" s="14">
        <f>2737.93-1358.47</f>
        <v>1379.4599999999998</v>
      </c>
      <c r="H810" s="14">
        <v>2112.56</v>
      </c>
      <c r="I810" s="14">
        <v>2142.37</v>
      </c>
    </row>
    <row r="811" spans="1:9" ht="110.25" customHeight="1" x14ac:dyDescent="0.25">
      <c r="A811" s="18">
        <f t="shared" si="450"/>
        <v>800</v>
      </c>
      <c r="B811" s="16" t="s">
        <v>120</v>
      </c>
      <c r="C811" s="17" t="s">
        <v>584</v>
      </c>
      <c r="D811" s="17" t="s">
        <v>639</v>
      </c>
      <c r="E811" s="17" t="s">
        <v>643</v>
      </c>
      <c r="F811" s="17">
        <v>630</v>
      </c>
      <c r="G811" s="14">
        <f>1320.93+1358.47</f>
        <v>2679.4</v>
      </c>
      <c r="H811" s="14">
        <v>1374.09</v>
      </c>
      <c r="I811" s="14">
        <v>1374.09</v>
      </c>
    </row>
    <row r="812" spans="1:9" ht="94.5" customHeight="1" x14ac:dyDescent="0.25">
      <c r="A812" s="18">
        <f t="shared" si="450"/>
        <v>801</v>
      </c>
      <c r="B812" s="16" t="s">
        <v>652</v>
      </c>
      <c r="C812" s="17" t="s">
        <v>584</v>
      </c>
      <c r="D812" s="17" t="s">
        <v>639</v>
      </c>
      <c r="E812" s="17" t="s">
        <v>653</v>
      </c>
      <c r="F812" s="17"/>
      <c r="G812" s="14">
        <f>SUM(G813)</f>
        <v>265</v>
      </c>
      <c r="H812" s="14">
        <f t="shared" ref="H812:I812" si="474">SUM(H813)</f>
        <v>0</v>
      </c>
      <c r="I812" s="14">
        <f t="shared" si="474"/>
        <v>0</v>
      </c>
    </row>
    <row r="813" spans="1:9" ht="72" x14ac:dyDescent="0.25">
      <c r="A813" s="18">
        <f t="shared" si="450"/>
        <v>802</v>
      </c>
      <c r="B813" s="16" t="s">
        <v>772</v>
      </c>
      <c r="C813" s="17" t="s">
        <v>584</v>
      </c>
      <c r="D813" s="17" t="s">
        <v>639</v>
      </c>
      <c r="E813" s="17" t="s">
        <v>773</v>
      </c>
      <c r="F813" s="17"/>
      <c r="G813" s="14">
        <f>SUM(G814)</f>
        <v>265</v>
      </c>
      <c r="H813" s="14">
        <f t="shared" ref="H813:I813" si="475">SUM(H814)</f>
        <v>0</v>
      </c>
      <c r="I813" s="14">
        <f t="shared" si="475"/>
        <v>0</v>
      </c>
    </row>
    <row r="814" spans="1:9" ht="36" x14ac:dyDescent="0.25">
      <c r="A814" s="18">
        <f t="shared" si="450"/>
        <v>803</v>
      </c>
      <c r="B814" s="16" t="s">
        <v>157</v>
      </c>
      <c r="C814" s="17" t="s">
        <v>584</v>
      </c>
      <c r="D814" s="17" t="s">
        <v>639</v>
      </c>
      <c r="E814" s="17" t="s">
        <v>773</v>
      </c>
      <c r="F814" s="17" t="s">
        <v>158</v>
      </c>
      <c r="G814" s="14">
        <f>300-35</f>
        <v>265</v>
      </c>
      <c r="H814" s="14">
        <v>0</v>
      </c>
      <c r="I814" s="14">
        <v>0</v>
      </c>
    </row>
    <row r="815" spans="1:9" ht="72" x14ac:dyDescent="0.25">
      <c r="A815" s="18">
        <f t="shared" si="450"/>
        <v>804</v>
      </c>
      <c r="B815" s="16" t="s">
        <v>80</v>
      </c>
      <c r="C815" s="17" t="s">
        <v>584</v>
      </c>
      <c r="D815" s="17" t="s">
        <v>639</v>
      </c>
      <c r="E815" s="17" t="s">
        <v>81</v>
      </c>
      <c r="F815" s="17"/>
      <c r="G815" s="14">
        <f>SUM(G816)</f>
        <v>735</v>
      </c>
      <c r="H815" s="14">
        <f t="shared" ref="H815:I815" si="476">SUM(H816)</f>
        <v>0</v>
      </c>
      <c r="I815" s="14">
        <f t="shared" si="476"/>
        <v>0</v>
      </c>
    </row>
    <row r="816" spans="1:9" ht="54" x14ac:dyDescent="0.25">
      <c r="A816" s="18">
        <f t="shared" si="450"/>
        <v>805</v>
      </c>
      <c r="B816" s="16" t="s">
        <v>82</v>
      </c>
      <c r="C816" s="17" t="s">
        <v>584</v>
      </c>
      <c r="D816" s="17" t="s">
        <v>639</v>
      </c>
      <c r="E816" s="17" t="s">
        <v>83</v>
      </c>
      <c r="F816" s="17"/>
      <c r="G816" s="14">
        <f>SUM(G817)</f>
        <v>735</v>
      </c>
      <c r="H816" s="14">
        <f t="shared" ref="H816:I816" si="477">SUM(H817)</f>
        <v>0</v>
      </c>
      <c r="I816" s="14">
        <f t="shared" si="477"/>
        <v>0</v>
      </c>
    </row>
    <row r="817" spans="1:9" ht="109.5" customHeight="1" x14ac:dyDescent="0.25">
      <c r="A817" s="18">
        <f t="shared" si="450"/>
        <v>806</v>
      </c>
      <c r="B817" s="16" t="s">
        <v>634</v>
      </c>
      <c r="C817" s="17" t="s">
        <v>584</v>
      </c>
      <c r="D817" s="17" t="s">
        <v>639</v>
      </c>
      <c r="E817" s="17" t="s">
        <v>635</v>
      </c>
      <c r="F817" s="17"/>
      <c r="G817" s="14">
        <f>SUM(G818)</f>
        <v>735</v>
      </c>
      <c r="H817" s="14">
        <f t="shared" ref="H817:I817" si="478">SUM(H818)</f>
        <v>0</v>
      </c>
      <c r="I817" s="14">
        <f t="shared" si="478"/>
        <v>0</v>
      </c>
    </row>
    <row r="818" spans="1:9" ht="36" x14ac:dyDescent="0.25">
      <c r="A818" s="18">
        <f t="shared" si="450"/>
        <v>807</v>
      </c>
      <c r="B818" s="16" t="s">
        <v>157</v>
      </c>
      <c r="C818" s="17" t="s">
        <v>584</v>
      </c>
      <c r="D818" s="17" t="s">
        <v>639</v>
      </c>
      <c r="E818" s="17" t="s">
        <v>635</v>
      </c>
      <c r="F818" s="17" t="s">
        <v>158</v>
      </c>
      <c r="G818" s="14">
        <v>735</v>
      </c>
      <c r="H818" s="14">
        <v>0</v>
      </c>
      <c r="I818" s="14">
        <v>0</v>
      </c>
    </row>
    <row r="819" spans="1:9" ht="90" x14ac:dyDescent="0.25">
      <c r="A819" s="18">
        <f t="shared" si="450"/>
        <v>808</v>
      </c>
      <c r="B819" s="16" t="s">
        <v>147</v>
      </c>
      <c r="C819" s="17" t="s">
        <v>584</v>
      </c>
      <c r="D819" s="17" t="s">
        <v>639</v>
      </c>
      <c r="E819" s="27" t="s">
        <v>148</v>
      </c>
      <c r="F819" s="17"/>
      <c r="G819" s="14">
        <f>SUM(G820)</f>
        <v>10</v>
      </c>
      <c r="H819" s="14">
        <f t="shared" ref="H819:I819" si="479">SUM(H820)</f>
        <v>0</v>
      </c>
      <c r="I819" s="14">
        <f t="shared" si="479"/>
        <v>0</v>
      </c>
    </row>
    <row r="820" spans="1:9" ht="54" x14ac:dyDescent="0.25">
      <c r="A820" s="18">
        <f t="shared" si="450"/>
        <v>809</v>
      </c>
      <c r="B820" s="16" t="s">
        <v>822</v>
      </c>
      <c r="C820" s="17" t="s">
        <v>584</v>
      </c>
      <c r="D820" s="17" t="s">
        <v>639</v>
      </c>
      <c r="E820" s="27" t="s">
        <v>466</v>
      </c>
      <c r="F820" s="17"/>
      <c r="G820" s="14">
        <f>SUM(G821)</f>
        <v>10</v>
      </c>
      <c r="H820" s="14">
        <f t="shared" ref="H820:I820" si="480">SUM(H821)</f>
        <v>0</v>
      </c>
      <c r="I820" s="14">
        <f t="shared" si="480"/>
        <v>0</v>
      </c>
    </row>
    <row r="821" spans="1:9" ht="36" x14ac:dyDescent="0.25">
      <c r="A821" s="18">
        <f t="shared" si="450"/>
        <v>810</v>
      </c>
      <c r="B821" s="16" t="s">
        <v>272</v>
      </c>
      <c r="C821" s="17" t="s">
        <v>584</v>
      </c>
      <c r="D821" s="17" t="s">
        <v>639</v>
      </c>
      <c r="E821" s="27" t="s">
        <v>466</v>
      </c>
      <c r="F821" s="17">
        <v>620</v>
      </c>
      <c r="G821" s="14">
        <v>10</v>
      </c>
      <c r="H821" s="14">
        <v>0</v>
      </c>
      <c r="I821" s="14">
        <v>0</v>
      </c>
    </row>
    <row r="822" spans="1:9" ht="18" x14ac:dyDescent="0.25">
      <c r="A822" s="18">
        <f t="shared" si="450"/>
        <v>811</v>
      </c>
      <c r="B822" s="16" t="s">
        <v>892</v>
      </c>
      <c r="C822" s="17" t="s">
        <v>584</v>
      </c>
      <c r="D822" s="17" t="s">
        <v>639</v>
      </c>
      <c r="E822" s="17">
        <v>7000000000</v>
      </c>
      <c r="F822" s="17"/>
      <c r="G822" s="14">
        <f>SUM(G823)</f>
        <v>247.57</v>
      </c>
      <c r="H822" s="14">
        <f t="shared" ref="H822:I822" si="481">SUM(H823)</f>
        <v>0</v>
      </c>
      <c r="I822" s="14">
        <f t="shared" si="481"/>
        <v>0</v>
      </c>
    </row>
    <row r="823" spans="1:9" ht="144" x14ac:dyDescent="0.25">
      <c r="A823" s="18">
        <f t="shared" si="450"/>
        <v>812</v>
      </c>
      <c r="B823" s="16" t="s">
        <v>883</v>
      </c>
      <c r="C823" s="17" t="s">
        <v>584</v>
      </c>
      <c r="D823" s="17" t="s">
        <v>639</v>
      </c>
      <c r="E823" s="17">
        <v>7000140600</v>
      </c>
      <c r="F823" s="17"/>
      <c r="G823" s="14">
        <f>SUM(G824:G825)</f>
        <v>247.57</v>
      </c>
      <c r="H823" s="14">
        <f t="shared" ref="H823:I823" si="482">SUM(H824:H825)</f>
        <v>0</v>
      </c>
      <c r="I823" s="14">
        <f t="shared" si="482"/>
        <v>0</v>
      </c>
    </row>
    <row r="824" spans="1:9" ht="36" x14ac:dyDescent="0.25">
      <c r="A824" s="18">
        <f t="shared" si="450"/>
        <v>813</v>
      </c>
      <c r="B824" s="16" t="s">
        <v>157</v>
      </c>
      <c r="C824" s="17" t="s">
        <v>584</v>
      </c>
      <c r="D824" s="17" t="s">
        <v>639</v>
      </c>
      <c r="E824" s="17">
        <v>7000140600</v>
      </c>
      <c r="F824" s="17">
        <v>610</v>
      </c>
      <c r="G824" s="14">
        <v>100.48</v>
      </c>
      <c r="H824" s="14">
        <v>0</v>
      </c>
      <c r="I824" s="14">
        <v>0</v>
      </c>
    </row>
    <row r="825" spans="1:9" ht="36" x14ac:dyDescent="0.25">
      <c r="A825" s="18">
        <f t="shared" si="450"/>
        <v>814</v>
      </c>
      <c r="B825" s="16" t="s">
        <v>272</v>
      </c>
      <c r="C825" s="17" t="s">
        <v>584</v>
      </c>
      <c r="D825" s="17" t="s">
        <v>639</v>
      </c>
      <c r="E825" s="17">
        <v>7000140600</v>
      </c>
      <c r="F825" s="17">
        <v>620</v>
      </c>
      <c r="G825" s="14">
        <v>147.09</v>
      </c>
      <c r="H825" s="14">
        <v>0</v>
      </c>
      <c r="I825" s="14">
        <v>0</v>
      </c>
    </row>
    <row r="826" spans="1:9" ht="36" x14ac:dyDescent="0.25">
      <c r="A826" s="19">
        <f t="shared" si="450"/>
        <v>815</v>
      </c>
      <c r="B826" s="20" t="s">
        <v>644</v>
      </c>
      <c r="C826" s="21" t="s">
        <v>584</v>
      </c>
      <c r="D826" s="21" t="s">
        <v>645</v>
      </c>
      <c r="E826" s="21"/>
      <c r="F826" s="21"/>
      <c r="G826" s="13">
        <f>SUM(G831+G827+G869)</f>
        <v>99626.039999999979</v>
      </c>
      <c r="H826" s="13">
        <f t="shared" ref="H826:I826" si="483">SUM(H831+H827+H869)</f>
        <v>82925.19</v>
      </c>
      <c r="I826" s="13">
        <f t="shared" si="483"/>
        <v>85797.069999999992</v>
      </c>
    </row>
    <row r="827" spans="1:9" s="32" customFormat="1" ht="162" x14ac:dyDescent="0.25">
      <c r="A827" s="18">
        <f t="shared" si="450"/>
        <v>816</v>
      </c>
      <c r="B827" s="16" t="s">
        <v>872</v>
      </c>
      <c r="C827" s="17" t="s">
        <v>584</v>
      </c>
      <c r="D827" s="17" t="s">
        <v>645</v>
      </c>
      <c r="E827" s="27" t="s">
        <v>65</v>
      </c>
      <c r="F827" s="17"/>
      <c r="G827" s="14">
        <f>SUM(G828)</f>
        <v>2385</v>
      </c>
      <c r="H827" s="14">
        <f t="shared" ref="H827:I829" si="484">SUM(H828)</f>
        <v>0</v>
      </c>
      <c r="I827" s="14">
        <f t="shared" si="484"/>
        <v>0</v>
      </c>
    </row>
    <row r="828" spans="1:9" s="32" customFormat="1" ht="180" x14ac:dyDescent="0.25">
      <c r="A828" s="18">
        <f t="shared" si="450"/>
        <v>817</v>
      </c>
      <c r="B828" s="16" t="s">
        <v>873</v>
      </c>
      <c r="C828" s="17" t="s">
        <v>584</v>
      </c>
      <c r="D828" s="17" t="s">
        <v>645</v>
      </c>
      <c r="E828" s="27" t="s">
        <v>67</v>
      </c>
      <c r="F828" s="17"/>
      <c r="G828" s="14">
        <f>SUM(G829)</f>
        <v>2385</v>
      </c>
      <c r="H828" s="14">
        <f t="shared" si="484"/>
        <v>0</v>
      </c>
      <c r="I828" s="14">
        <f t="shared" si="484"/>
        <v>0</v>
      </c>
    </row>
    <row r="829" spans="1:9" s="32" customFormat="1" ht="54" x14ac:dyDescent="0.25">
      <c r="A829" s="18">
        <f t="shared" si="450"/>
        <v>818</v>
      </c>
      <c r="B829" s="16" t="s">
        <v>874</v>
      </c>
      <c r="C829" s="17" t="s">
        <v>584</v>
      </c>
      <c r="D829" s="17" t="s">
        <v>645</v>
      </c>
      <c r="E829" s="27" t="s">
        <v>69</v>
      </c>
      <c r="F829" s="17"/>
      <c r="G829" s="14">
        <f>SUM(G830)</f>
        <v>2385</v>
      </c>
      <c r="H829" s="14">
        <f t="shared" si="484"/>
        <v>0</v>
      </c>
      <c r="I829" s="14">
        <f t="shared" si="484"/>
        <v>0</v>
      </c>
    </row>
    <row r="830" spans="1:9" s="32" customFormat="1" ht="72" x14ac:dyDescent="0.25">
      <c r="A830" s="18">
        <f t="shared" si="450"/>
        <v>819</v>
      </c>
      <c r="B830" s="16" t="s">
        <v>875</v>
      </c>
      <c r="C830" s="17" t="s">
        <v>584</v>
      </c>
      <c r="D830" s="17" t="s">
        <v>645</v>
      </c>
      <c r="E830" s="27" t="s">
        <v>69</v>
      </c>
      <c r="F830" s="17">
        <v>240</v>
      </c>
      <c r="G830" s="14">
        <v>2385</v>
      </c>
      <c r="H830" s="14">
        <v>0</v>
      </c>
      <c r="I830" s="14">
        <v>0</v>
      </c>
    </row>
    <row r="831" spans="1:9" ht="72" x14ac:dyDescent="0.25">
      <c r="A831" s="18">
        <f t="shared" si="450"/>
        <v>820</v>
      </c>
      <c r="B831" s="16" t="s">
        <v>589</v>
      </c>
      <c r="C831" s="17" t="s">
        <v>584</v>
      </c>
      <c r="D831" s="17" t="s">
        <v>645</v>
      </c>
      <c r="E831" s="17" t="s">
        <v>590</v>
      </c>
      <c r="F831" s="17"/>
      <c r="G831" s="14">
        <f>SUM(G832+G836+G856)</f>
        <v>95954.449999999983</v>
      </c>
      <c r="H831" s="14">
        <f t="shared" ref="H831:I831" si="485">SUM(H832+H836+H856)</f>
        <v>82925.19</v>
      </c>
      <c r="I831" s="14">
        <f t="shared" si="485"/>
        <v>85797.069999999992</v>
      </c>
    </row>
    <row r="832" spans="1:9" ht="75" customHeight="1" x14ac:dyDescent="0.25">
      <c r="A832" s="18">
        <f t="shared" si="450"/>
        <v>821</v>
      </c>
      <c r="B832" s="16" t="s">
        <v>608</v>
      </c>
      <c r="C832" s="17" t="s">
        <v>584</v>
      </c>
      <c r="D832" s="17" t="s">
        <v>645</v>
      </c>
      <c r="E832" s="27" t="s">
        <v>609</v>
      </c>
      <c r="F832" s="17"/>
      <c r="G832" s="14">
        <f>SUM(G833)</f>
        <v>3724.21</v>
      </c>
      <c r="H832" s="14">
        <f t="shared" ref="H832:I832" si="486">SUM(H833)</f>
        <v>0</v>
      </c>
      <c r="I832" s="14">
        <f t="shared" si="486"/>
        <v>0</v>
      </c>
    </row>
    <row r="833" spans="1:9" ht="75" customHeight="1" x14ac:dyDescent="0.25">
      <c r="A833" s="18">
        <f t="shared" si="450"/>
        <v>822</v>
      </c>
      <c r="B833" s="16" t="s">
        <v>804</v>
      </c>
      <c r="C833" s="17" t="s">
        <v>584</v>
      </c>
      <c r="D833" s="17" t="s">
        <v>645</v>
      </c>
      <c r="E833" s="17" t="s">
        <v>807</v>
      </c>
      <c r="F833" s="17"/>
      <c r="G833" s="14">
        <f>SUM(G834:G835)</f>
        <v>3724.21</v>
      </c>
      <c r="H833" s="14">
        <f t="shared" ref="H833:I833" si="487">SUM(H834:H835)</f>
        <v>0</v>
      </c>
      <c r="I833" s="14">
        <f t="shared" si="487"/>
        <v>0</v>
      </c>
    </row>
    <row r="834" spans="1:9" ht="36.75" customHeight="1" x14ac:dyDescent="0.25">
      <c r="A834" s="18">
        <f t="shared" si="450"/>
        <v>823</v>
      </c>
      <c r="B834" s="16" t="s">
        <v>805</v>
      </c>
      <c r="C834" s="17" t="s">
        <v>584</v>
      </c>
      <c r="D834" s="17" t="s">
        <v>645</v>
      </c>
      <c r="E834" s="17" t="s">
        <v>807</v>
      </c>
      <c r="F834" s="17">
        <v>610</v>
      </c>
      <c r="G834" s="14">
        <v>2369.9499999999998</v>
      </c>
      <c r="H834" s="14">
        <v>0</v>
      </c>
      <c r="I834" s="14">
        <v>0</v>
      </c>
    </row>
    <row r="835" spans="1:9" ht="38.25" customHeight="1" x14ac:dyDescent="0.25">
      <c r="A835" s="18">
        <f t="shared" si="450"/>
        <v>824</v>
      </c>
      <c r="B835" s="16" t="s">
        <v>806</v>
      </c>
      <c r="C835" s="17" t="s">
        <v>584</v>
      </c>
      <c r="D835" s="17" t="s">
        <v>645</v>
      </c>
      <c r="E835" s="17" t="s">
        <v>807</v>
      </c>
      <c r="F835" s="17">
        <v>620</v>
      </c>
      <c r="G835" s="14">
        <v>1354.26</v>
      </c>
      <c r="H835" s="14">
        <v>0</v>
      </c>
      <c r="I835" s="14">
        <v>0</v>
      </c>
    </row>
    <row r="836" spans="1:9" ht="38.25" customHeight="1" x14ac:dyDescent="0.25">
      <c r="A836" s="18">
        <f t="shared" si="450"/>
        <v>825</v>
      </c>
      <c r="B836" s="16" t="s">
        <v>632</v>
      </c>
      <c r="C836" s="17" t="s">
        <v>584</v>
      </c>
      <c r="D836" s="17" t="s">
        <v>645</v>
      </c>
      <c r="E836" s="17" t="s">
        <v>633</v>
      </c>
      <c r="F836" s="17"/>
      <c r="G836" s="14">
        <f>SUM(G837+G839+G843+G847+G851+G853)</f>
        <v>36726.499999999993</v>
      </c>
      <c r="H836" s="14">
        <f t="shared" ref="H836:I836" si="488">SUM(H837+H839+H843+H847+H851+H853)</f>
        <v>33048.42</v>
      </c>
      <c r="I836" s="14">
        <f t="shared" si="488"/>
        <v>34369.879999999997</v>
      </c>
    </row>
    <row r="837" spans="1:9" ht="198" customHeight="1" x14ac:dyDescent="0.25">
      <c r="A837" s="18">
        <f t="shared" si="450"/>
        <v>826</v>
      </c>
      <c r="B837" s="16" t="s">
        <v>646</v>
      </c>
      <c r="C837" s="17" t="s">
        <v>584</v>
      </c>
      <c r="D837" s="17" t="s">
        <v>645</v>
      </c>
      <c r="E837" s="17" t="s">
        <v>647</v>
      </c>
      <c r="F837" s="17"/>
      <c r="G837" s="14">
        <f>SUM(G838)</f>
        <v>1988.2</v>
      </c>
      <c r="H837" s="14">
        <f t="shared" ref="H837:I837" si="489">SUM(H838)</f>
        <v>2067.8000000000002</v>
      </c>
      <c r="I837" s="14">
        <f t="shared" si="489"/>
        <v>2150.5</v>
      </c>
    </row>
    <row r="838" spans="1:9" ht="57" customHeight="1" x14ac:dyDescent="0.25">
      <c r="A838" s="18">
        <f t="shared" ref="A838:A918" si="490">SUM(A837+1)</f>
        <v>827</v>
      </c>
      <c r="B838" s="16" t="s">
        <v>33</v>
      </c>
      <c r="C838" s="17" t="s">
        <v>584</v>
      </c>
      <c r="D838" s="17" t="s">
        <v>645</v>
      </c>
      <c r="E838" s="17" t="s">
        <v>647</v>
      </c>
      <c r="F838" s="17" t="s">
        <v>34</v>
      </c>
      <c r="G838" s="14">
        <v>1988.2</v>
      </c>
      <c r="H838" s="14">
        <v>2067.8000000000002</v>
      </c>
      <c r="I838" s="14">
        <v>2150.5</v>
      </c>
    </row>
    <row r="839" spans="1:9" ht="36" x14ac:dyDescent="0.25">
      <c r="A839" s="18">
        <f t="shared" si="490"/>
        <v>828</v>
      </c>
      <c r="B839" s="16" t="s">
        <v>648</v>
      </c>
      <c r="C839" s="17" t="s">
        <v>584</v>
      </c>
      <c r="D839" s="17" t="s">
        <v>645</v>
      </c>
      <c r="E839" s="17" t="s">
        <v>649</v>
      </c>
      <c r="F839" s="17"/>
      <c r="G839" s="14">
        <f>SUM(G840:G842)</f>
        <v>16127.619999999997</v>
      </c>
      <c r="H839" s="14">
        <f t="shared" ref="H839:I839" si="491">SUM(H840:H842)</f>
        <v>17101.3</v>
      </c>
      <c r="I839" s="14">
        <f t="shared" si="491"/>
        <v>17785.099999999999</v>
      </c>
    </row>
    <row r="840" spans="1:9" ht="57" customHeight="1" x14ac:dyDescent="0.25">
      <c r="A840" s="18">
        <f t="shared" si="490"/>
        <v>829</v>
      </c>
      <c r="B840" s="16" t="s">
        <v>33</v>
      </c>
      <c r="C840" s="17" t="s">
        <v>584</v>
      </c>
      <c r="D840" s="17" t="s">
        <v>645</v>
      </c>
      <c r="E840" s="17" t="s">
        <v>649</v>
      </c>
      <c r="F840" s="17" t="s">
        <v>34</v>
      </c>
      <c r="G840" s="14">
        <f>12426.05-796.78</f>
        <v>11629.269999999999</v>
      </c>
      <c r="H840" s="14">
        <v>17101.3</v>
      </c>
      <c r="I840" s="14">
        <v>17785.099999999999</v>
      </c>
    </row>
    <row r="841" spans="1:9" ht="40.5" customHeight="1" x14ac:dyDescent="0.25">
      <c r="A841" s="18">
        <f t="shared" si="490"/>
        <v>830</v>
      </c>
      <c r="B841" s="16" t="s">
        <v>805</v>
      </c>
      <c r="C841" s="17" t="s">
        <v>584</v>
      </c>
      <c r="D841" s="17" t="s">
        <v>645</v>
      </c>
      <c r="E841" s="17" t="s">
        <v>649</v>
      </c>
      <c r="F841" s="17">
        <v>610</v>
      </c>
      <c r="G841" s="14">
        <f>2532.55+525.58</f>
        <v>3058.13</v>
      </c>
      <c r="H841" s="14">
        <v>0</v>
      </c>
      <c r="I841" s="14">
        <v>0</v>
      </c>
    </row>
    <row r="842" spans="1:9" ht="38.25" customHeight="1" x14ac:dyDescent="0.25">
      <c r="A842" s="18">
        <f t="shared" si="490"/>
        <v>831</v>
      </c>
      <c r="B842" s="16" t="s">
        <v>806</v>
      </c>
      <c r="C842" s="17" t="s">
        <v>584</v>
      </c>
      <c r="D842" s="17" t="s">
        <v>645</v>
      </c>
      <c r="E842" s="17" t="s">
        <v>649</v>
      </c>
      <c r="F842" s="17">
        <v>620</v>
      </c>
      <c r="G842" s="14">
        <f>1169.02+271.2</f>
        <v>1440.22</v>
      </c>
      <c r="H842" s="14">
        <v>0</v>
      </c>
      <c r="I842" s="14">
        <v>0</v>
      </c>
    </row>
    <row r="843" spans="1:9" ht="111.75" customHeight="1" x14ac:dyDescent="0.25">
      <c r="A843" s="18">
        <f t="shared" si="490"/>
        <v>832</v>
      </c>
      <c r="B843" s="16" t="s">
        <v>808</v>
      </c>
      <c r="C843" s="17" t="s">
        <v>584</v>
      </c>
      <c r="D843" s="17" t="s">
        <v>645</v>
      </c>
      <c r="E843" s="27" t="s">
        <v>809</v>
      </c>
      <c r="F843" s="17"/>
      <c r="G843" s="14">
        <f>SUM(G844:G846)</f>
        <v>3929</v>
      </c>
      <c r="H843" s="14">
        <f t="shared" ref="H843:I843" si="492">SUM(H844:H846)</f>
        <v>0</v>
      </c>
      <c r="I843" s="14">
        <f t="shared" si="492"/>
        <v>0</v>
      </c>
    </row>
    <row r="844" spans="1:9" ht="57" customHeight="1" x14ac:dyDescent="0.25">
      <c r="A844" s="18">
        <f t="shared" si="490"/>
        <v>833</v>
      </c>
      <c r="B844" s="16" t="s">
        <v>33</v>
      </c>
      <c r="C844" s="17" t="s">
        <v>584</v>
      </c>
      <c r="D844" s="17" t="s">
        <v>645</v>
      </c>
      <c r="E844" s="27" t="s">
        <v>809</v>
      </c>
      <c r="F844" s="17">
        <v>240</v>
      </c>
      <c r="G844" s="14">
        <f>3929-3928.91</f>
        <v>9.0000000000145519E-2</v>
      </c>
      <c r="H844" s="14">
        <v>0</v>
      </c>
      <c r="I844" s="14">
        <v>0</v>
      </c>
    </row>
    <row r="845" spans="1:9" ht="37.5" customHeight="1" x14ac:dyDescent="0.25">
      <c r="A845" s="18">
        <f t="shared" si="490"/>
        <v>834</v>
      </c>
      <c r="B845" s="16" t="s">
        <v>805</v>
      </c>
      <c r="C845" s="17" t="s">
        <v>584</v>
      </c>
      <c r="D845" s="17" t="s">
        <v>645</v>
      </c>
      <c r="E845" s="27" t="s">
        <v>809</v>
      </c>
      <c r="F845" s="17">
        <v>610</v>
      </c>
      <c r="G845" s="14">
        <v>1825.74</v>
      </c>
      <c r="H845" s="14">
        <v>0</v>
      </c>
      <c r="I845" s="14">
        <v>0</v>
      </c>
    </row>
    <row r="846" spans="1:9" ht="36.75" customHeight="1" x14ac:dyDescent="0.25">
      <c r="A846" s="18">
        <f t="shared" si="490"/>
        <v>835</v>
      </c>
      <c r="B846" s="16" t="s">
        <v>806</v>
      </c>
      <c r="C846" s="17" t="s">
        <v>584</v>
      </c>
      <c r="D846" s="17" t="s">
        <v>645</v>
      </c>
      <c r="E846" s="27" t="s">
        <v>809</v>
      </c>
      <c r="F846" s="17">
        <v>620</v>
      </c>
      <c r="G846" s="14">
        <v>2103.17</v>
      </c>
      <c r="H846" s="14">
        <v>0</v>
      </c>
      <c r="I846" s="14">
        <v>0</v>
      </c>
    </row>
    <row r="847" spans="1:9" ht="54" x14ac:dyDescent="0.25">
      <c r="A847" s="18">
        <f t="shared" si="490"/>
        <v>836</v>
      </c>
      <c r="B847" s="16" t="s">
        <v>650</v>
      </c>
      <c r="C847" s="17" t="s">
        <v>584</v>
      </c>
      <c r="D847" s="17" t="s">
        <v>645</v>
      </c>
      <c r="E847" s="17" t="s">
        <v>651</v>
      </c>
      <c r="F847" s="17"/>
      <c r="G847" s="14">
        <f>SUM(G848:G850)</f>
        <v>13077.539999999999</v>
      </c>
      <c r="H847" s="14">
        <f t="shared" ref="H847:I847" si="493">SUM(H848:H850)</f>
        <v>13879.32</v>
      </c>
      <c r="I847" s="14">
        <f t="shared" si="493"/>
        <v>14434.28</v>
      </c>
    </row>
    <row r="848" spans="1:9" ht="57.75" customHeight="1" x14ac:dyDescent="0.25">
      <c r="A848" s="18">
        <f t="shared" si="490"/>
        <v>837</v>
      </c>
      <c r="B848" s="16" t="s">
        <v>33</v>
      </c>
      <c r="C848" s="17" t="s">
        <v>584</v>
      </c>
      <c r="D848" s="17" t="s">
        <v>645</v>
      </c>
      <c r="E848" s="17" t="s">
        <v>651</v>
      </c>
      <c r="F848" s="17" t="s">
        <v>34</v>
      </c>
      <c r="G848" s="14">
        <f>7529.48-383.95</f>
        <v>7145.53</v>
      </c>
      <c r="H848" s="14">
        <v>13879.32</v>
      </c>
      <c r="I848" s="14">
        <v>14434.28</v>
      </c>
    </row>
    <row r="849" spans="1:9" ht="36.75" customHeight="1" x14ac:dyDescent="0.25">
      <c r="A849" s="18">
        <f t="shared" si="490"/>
        <v>838</v>
      </c>
      <c r="B849" s="16" t="s">
        <v>805</v>
      </c>
      <c r="C849" s="17" t="s">
        <v>584</v>
      </c>
      <c r="D849" s="17" t="s">
        <v>645</v>
      </c>
      <c r="E849" s="17" t="s">
        <v>651</v>
      </c>
      <c r="F849" s="17">
        <v>610</v>
      </c>
      <c r="G849" s="14">
        <f>4203.21+383.95</f>
        <v>4587.16</v>
      </c>
      <c r="H849" s="14">
        <v>0</v>
      </c>
      <c r="I849" s="14">
        <v>0</v>
      </c>
    </row>
    <row r="850" spans="1:9" ht="34.5" customHeight="1" x14ac:dyDescent="0.25">
      <c r="A850" s="18">
        <f t="shared" si="490"/>
        <v>839</v>
      </c>
      <c r="B850" s="16" t="s">
        <v>806</v>
      </c>
      <c r="C850" s="17" t="s">
        <v>584</v>
      </c>
      <c r="D850" s="17" t="s">
        <v>645</v>
      </c>
      <c r="E850" s="17" t="s">
        <v>651</v>
      </c>
      <c r="F850" s="17">
        <v>620</v>
      </c>
      <c r="G850" s="14">
        <v>1344.85</v>
      </c>
      <c r="H850" s="14">
        <v>0</v>
      </c>
      <c r="I850" s="14">
        <v>0</v>
      </c>
    </row>
    <row r="851" spans="1:9" ht="54.75" customHeight="1" x14ac:dyDescent="0.25">
      <c r="A851" s="18">
        <f t="shared" si="490"/>
        <v>840</v>
      </c>
      <c r="B851" s="16" t="s">
        <v>823</v>
      </c>
      <c r="C851" s="17" t="s">
        <v>584</v>
      </c>
      <c r="D851" s="17" t="s">
        <v>645</v>
      </c>
      <c r="E851" s="27" t="s">
        <v>824</v>
      </c>
      <c r="F851" s="17"/>
      <c r="G851" s="14">
        <f>SUM(G852)</f>
        <v>1506.24</v>
      </c>
      <c r="H851" s="14">
        <f t="shared" ref="H851:I851" si="494">SUM(H852)</f>
        <v>0</v>
      </c>
      <c r="I851" s="14">
        <f t="shared" si="494"/>
        <v>0</v>
      </c>
    </row>
    <row r="852" spans="1:9" ht="34.5" customHeight="1" x14ac:dyDescent="0.25">
      <c r="A852" s="18">
        <f t="shared" si="490"/>
        <v>841</v>
      </c>
      <c r="B852" s="16" t="s">
        <v>33</v>
      </c>
      <c r="C852" s="17" t="s">
        <v>584</v>
      </c>
      <c r="D852" s="17" t="s">
        <v>645</v>
      </c>
      <c r="E852" s="27" t="s">
        <v>824</v>
      </c>
      <c r="F852" s="17">
        <v>240</v>
      </c>
      <c r="G852" s="14">
        <v>1506.24</v>
      </c>
      <c r="H852" s="14">
        <v>0</v>
      </c>
      <c r="I852" s="14">
        <v>0</v>
      </c>
    </row>
    <row r="853" spans="1:9" ht="94.5" customHeight="1" x14ac:dyDescent="0.25">
      <c r="A853" s="18">
        <f t="shared" si="490"/>
        <v>842</v>
      </c>
      <c r="B853" s="16" t="s">
        <v>826</v>
      </c>
      <c r="C853" s="17" t="s">
        <v>584</v>
      </c>
      <c r="D853" s="17" t="s">
        <v>645</v>
      </c>
      <c r="E853" s="27" t="s">
        <v>825</v>
      </c>
      <c r="F853" s="17"/>
      <c r="G853" s="14">
        <f>SUM(G854:G855)</f>
        <v>97.899999999999991</v>
      </c>
      <c r="H853" s="14">
        <f t="shared" ref="H853:I853" si="495">SUM(H854:H855)</f>
        <v>0</v>
      </c>
      <c r="I853" s="14">
        <f t="shared" si="495"/>
        <v>0</v>
      </c>
    </row>
    <row r="854" spans="1:9" ht="34.5" customHeight="1" x14ac:dyDescent="0.25">
      <c r="A854" s="18">
        <f t="shared" si="490"/>
        <v>843</v>
      </c>
      <c r="B854" s="16" t="s">
        <v>805</v>
      </c>
      <c r="C854" s="17" t="s">
        <v>584</v>
      </c>
      <c r="D854" s="17" t="s">
        <v>645</v>
      </c>
      <c r="E854" s="27" t="s">
        <v>825</v>
      </c>
      <c r="F854" s="17">
        <v>610</v>
      </c>
      <c r="G854" s="14">
        <v>67.099999999999994</v>
      </c>
      <c r="H854" s="14">
        <v>0</v>
      </c>
      <c r="I854" s="14">
        <v>0</v>
      </c>
    </row>
    <row r="855" spans="1:9" ht="34.5" customHeight="1" x14ac:dyDescent="0.25">
      <c r="A855" s="18">
        <f t="shared" si="490"/>
        <v>844</v>
      </c>
      <c r="B855" s="16" t="s">
        <v>806</v>
      </c>
      <c r="C855" s="17" t="s">
        <v>584</v>
      </c>
      <c r="D855" s="17" t="s">
        <v>645</v>
      </c>
      <c r="E855" s="27" t="s">
        <v>825</v>
      </c>
      <c r="F855" s="17">
        <v>620</v>
      </c>
      <c r="G855" s="14">
        <v>30.8</v>
      </c>
      <c r="H855" s="14">
        <v>0</v>
      </c>
      <c r="I855" s="14">
        <v>0</v>
      </c>
    </row>
    <row r="856" spans="1:9" ht="93.75" customHeight="1" x14ac:dyDescent="0.25">
      <c r="A856" s="18">
        <f t="shared" si="490"/>
        <v>845</v>
      </c>
      <c r="B856" s="16" t="s">
        <v>652</v>
      </c>
      <c r="C856" s="17" t="s">
        <v>584</v>
      </c>
      <c r="D856" s="17" t="s">
        <v>645</v>
      </c>
      <c r="E856" s="17" t="s">
        <v>653</v>
      </c>
      <c r="F856" s="17"/>
      <c r="G856" s="14">
        <f>SUM(G857+G862+G860+G867)</f>
        <v>55503.74</v>
      </c>
      <c r="H856" s="14">
        <f t="shared" ref="H856:I856" si="496">SUM(H857+H862+H860+H867)</f>
        <v>49876.77</v>
      </c>
      <c r="I856" s="14">
        <f t="shared" si="496"/>
        <v>51427.189999999995</v>
      </c>
    </row>
    <row r="857" spans="1:9" ht="36" x14ac:dyDescent="0.25">
      <c r="A857" s="18">
        <f t="shared" si="490"/>
        <v>846</v>
      </c>
      <c r="B857" s="16" t="s">
        <v>654</v>
      </c>
      <c r="C857" s="17" t="s">
        <v>584</v>
      </c>
      <c r="D857" s="17" t="s">
        <v>645</v>
      </c>
      <c r="E857" s="17" t="s">
        <v>655</v>
      </c>
      <c r="F857" s="17"/>
      <c r="G857" s="14">
        <f>SUM(G858:G859)</f>
        <v>10415.15</v>
      </c>
      <c r="H857" s="14">
        <f t="shared" ref="H857:I857" si="497">SUM(H858:H859)</f>
        <v>10842.49</v>
      </c>
      <c r="I857" s="14">
        <f t="shared" si="497"/>
        <v>11246.96</v>
      </c>
    </row>
    <row r="858" spans="1:9" ht="54" x14ac:dyDescent="0.25">
      <c r="A858" s="18">
        <f t="shared" si="490"/>
        <v>847</v>
      </c>
      <c r="B858" s="16" t="s">
        <v>25</v>
      </c>
      <c r="C858" s="17" t="s">
        <v>584</v>
      </c>
      <c r="D858" s="17" t="s">
        <v>645</v>
      </c>
      <c r="E858" s="17" t="s">
        <v>655</v>
      </c>
      <c r="F858" s="17" t="s">
        <v>26</v>
      </c>
      <c r="G858" s="14">
        <v>9482.6</v>
      </c>
      <c r="H858" s="14">
        <v>9897.6</v>
      </c>
      <c r="I858" s="14">
        <v>10293.9</v>
      </c>
    </row>
    <row r="859" spans="1:9" ht="54" customHeight="1" x14ac:dyDescent="0.25">
      <c r="A859" s="18">
        <f t="shared" si="490"/>
        <v>848</v>
      </c>
      <c r="B859" s="16" t="s">
        <v>33</v>
      </c>
      <c r="C859" s="17" t="s">
        <v>584</v>
      </c>
      <c r="D859" s="17" t="s">
        <v>645</v>
      </c>
      <c r="E859" s="17" t="s">
        <v>655</v>
      </c>
      <c r="F859" s="17" t="s">
        <v>34</v>
      </c>
      <c r="G859" s="14">
        <v>932.55</v>
      </c>
      <c r="H859" s="14">
        <v>944.89</v>
      </c>
      <c r="I859" s="14">
        <v>953.06</v>
      </c>
    </row>
    <row r="860" spans="1:9" ht="167.25" customHeight="1" x14ac:dyDescent="0.25">
      <c r="A860" s="18">
        <f t="shared" si="490"/>
        <v>849</v>
      </c>
      <c r="B860" s="16" t="s">
        <v>851</v>
      </c>
      <c r="C860" s="17" t="s">
        <v>584</v>
      </c>
      <c r="D860" s="17" t="s">
        <v>645</v>
      </c>
      <c r="E860" s="27" t="s">
        <v>849</v>
      </c>
      <c r="F860" s="17"/>
      <c r="G860" s="14">
        <f>SUM(G861)</f>
        <v>140</v>
      </c>
      <c r="H860" s="14">
        <f t="shared" ref="H860:I860" si="498">SUM(H861)</f>
        <v>0</v>
      </c>
      <c r="I860" s="14">
        <f t="shared" si="498"/>
        <v>0</v>
      </c>
    </row>
    <row r="861" spans="1:9" ht="20.25" customHeight="1" x14ac:dyDescent="0.25">
      <c r="A861" s="18">
        <f t="shared" si="490"/>
        <v>850</v>
      </c>
      <c r="B861" s="16" t="s">
        <v>850</v>
      </c>
      <c r="C861" s="17" t="s">
        <v>584</v>
      </c>
      <c r="D861" s="17" t="s">
        <v>645</v>
      </c>
      <c r="E861" s="27" t="s">
        <v>849</v>
      </c>
      <c r="F861" s="17">
        <v>360</v>
      </c>
      <c r="G861" s="14">
        <v>140</v>
      </c>
      <c r="H861" s="14">
        <v>0</v>
      </c>
      <c r="I861" s="14">
        <v>0</v>
      </c>
    </row>
    <row r="862" spans="1:9" ht="72" x14ac:dyDescent="0.25">
      <c r="A862" s="18">
        <f t="shared" si="490"/>
        <v>851</v>
      </c>
      <c r="B862" s="16" t="s">
        <v>656</v>
      </c>
      <c r="C862" s="17" t="s">
        <v>584</v>
      </c>
      <c r="D862" s="17" t="s">
        <v>645</v>
      </c>
      <c r="E862" s="17" t="s">
        <v>657</v>
      </c>
      <c r="F862" s="17"/>
      <c r="G862" s="14">
        <f>SUM(G863:G866)</f>
        <v>44837.17</v>
      </c>
      <c r="H862" s="14">
        <f t="shared" ref="H862:I862" si="499">SUM(H863:H866)</f>
        <v>39034.28</v>
      </c>
      <c r="I862" s="14">
        <f t="shared" si="499"/>
        <v>40180.229999999996</v>
      </c>
    </row>
    <row r="863" spans="1:9" ht="36" x14ac:dyDescent="0.25">
      <c r="A863" s="18">
        <f t="shared" si="490"/>
        <v>852</v>
      </c>
      <c r="B863" s="16" t="s">
        <v>106</v>
      </c>
      <c r="C863" s="17" t="s">
        <v>584</v>
      </c>
      <c r="D863" s="17" t="s">
        <v>645</v>
      </c>
      <c r="E863" s="17" t="s">
        <v>657</v>
      </c>
      <c r="F863" s="17" t="s">
        <v>107</v>
      </c>
      <c r="G863" s="14">
        <v>25163.4</v>
      </c>
      <c r="H863" s="14">
        <v>28136.880000000001</v>
      </c>
      <c r="I863" s="14">
        <v>29263.03</v>
      </c>
    </row>
    <row r="864" spans="1:9" ht="54" customHeight="1" x14ac:dyDescent="0.25">
      <c r="A864" s="18">
        <f t="shared" si="490"/>
        <v>853</v>
      </c>
      <c r="B864" s="16" t="s">
        <v>33</v>
      </c>
      <c r="C864" s="17" t="s">
        <v>584</v>
      </c>
      <c r="D864" s="17" t="s">
        <v>645</v>
      </c>
      <c r="E864" s="17" t="s">
        <v>657</v>
      </c>
      <c r="F864" s="17" t="s">
        <v>34</v>
      </c>
      <c r="G864" s="14">
        <f>7635.52+205+82.5</f>
        <v>7923.02</v>
      </c>
      <c r="H864" s="14">
        <f>10872-8899.19</f>
        <v>1972.8099999999995</v>
      </c>
      <c r="I864" s="14">
        <f>10891.8-8899.19</f>
        <v>1992.6099999999988</v>
      </c>
    </row>
    <row r="865" spans="1:9" ht="37.5" customHeight="1" x14ac:dyDescent="0.25">
      <c r="A865" s="18">
        <f t="shared" si="490"/>
        <v>854</v>
      </c>
      <c r="B865" s="16" t="s">
        <v>805</v>
      </c>
      <c r="C865" s="17" t="s">
        <v>584</v>
      </c>
      <c r="D865" s="17" t="s">
        <v>645</v>
      </c>
      <c r="E865" s="17" t="s">
        <v>657</v>
      </c>
      <c r="F865" s="17">
        <v>610</v>
      </c>
      <c r="G865" s="14">
        <f>11620.75-205+332.5</f>
        <v>11748.25</v>
      </c>
      <c r="H865" s="14">
        <v>8924.59</v>
      </c>
      <c r="I865" s="14">
        <v>8924.59</v>
      </c>
    </row>
    <row r="866" spans="1:9" ht="36" x14ac:dyDescent="0.25">
      <c r="A866" s="18">
        <f t="shared" si="490"/>
        <v>855</v>
      </c>
      <c r="B866" s="16" t="s">
        <v>37</v>
      </c>
      <c r="C866" s="17" t="s">
        <v>584</v>
      </c>
      <c r="D866" s="17" t="s">
        <v>645</v>
      </c>
      <c r="E866" s="17" t="s">
        <v>657</v>
      </c>
      <c r="F866" s="17" t="s">
        <v>38</v>
      </c>
      <c r="G866" s="14">
        <f>25.4-22.9</f>
        <v>2.5</v>
      </c>
      <c r="H866" s="14">
        <f>25.4-25.4</f>
        <v>0</v>
      </c>
      <c r="I866" s="14">
        <f>25.4-25.4</f>
        <v>0</v>
      </c>
    </row>
    <row r="867" spans="1:9" ht="54" x14ac:dyDescent="0.25">
      <c r="A867" s="18">
        <f t="shared" si="490"/>
        <v>856</v>
      </c>
      <c r="B867" s="16" t="s">
        <v>899</v>
      </c>
      <c r="C867" s="17" t="s">
        <v>584</v>
      </c>
      <c r="D867" s="17" t="s">
        <v>645</v>
      </c>
      <c r="E867" s="27" t="s">
        <v>898</v>
      </c>
      <c r="F867" s="17"/>
      <c r="G867" s="14">
        <f>SUM(G868)</f>
        <v>111.42</v>
      </c>
      <c r="H867" s="14">
        <f t="shared" ref="H867:I867" si="500">SUM(H868)</f>
        <v>0</v>
      </c>
      <c r="I867" s="14">
        <f t="shared" si="500"/>
        <v>0</v>
      </c>
    </row>
    <row r="868" spans="1:9" ht="36" x14ac:dyDescent="0.25">
      <c r="A868" s="18">
        <f t="shared" si="490"/>
        <v>857</v>
      </c>
      <c r="B868" s="16" t="s">
        <v>806</v>
      </c>
      <c r="C868" s="17" t="s">
        <v>584</v>
      </c>
      <c r="D868" s="17" t="s">
        <v>645</v>
      </c>
      <c r="E868" s="27" t="s">
        <v>898</v>
      </c>
      <c r="F868" s="17">
        <v>620</v>
      </c>
      <c r="G868" s="14">
        <v>111.42</v>
      </c>
      <c r="H868" s="14">
        <v>0</v>
      </c>
      <c r="I868" s="14">
        <v>0</v>
      </c>
    </row>
    <row r="869" spans="1:9" ht="18" x14ac:dyDescent="0.25">
      <c r="A869" s="18">
        <f t="shared" si="490"/>
        <v>858</v>
      </c>
      <c r="B869" s="16" t="s">
        <v>864</v>
      </c>
      <c r="C869" s="17" t="s">
        <v>584</v>
      </c>
      <c r="D869" s="17" t="s">
        <v>645</v>
      </c>
      <c r="E869" s="27" t="s">
        <v>45</v>
      </c>
      <c r="F869" s="17"/>
      <c r="G869" s="14">
        <f>SUM(G874+G870)</f>
        <v>1286.5899999999999</v>
      </c>
      <c r="H869" s="14">
        <f t="shared" ref="H869:I869" si="501">SUM(H874+H870)</f>
        <v>0</v>
      </c>
      <c r="I869" s="14">
        <f t="shared" si="501"/>
        <v>0</v>
      </c>
    </row>
    <row r="870" spans="1:9" ht="144" x14ac:dyDescent="0.25">
      <c r="A870" s="18">
        <f t="shared" si="490"/>
        <v>859</v>
      </c>
      <c r="B870" s="16" t="s">
        <v>883</v>
      </c>
      <c r="C870" s="17" t="s">
        <v>584</v>
      </c>
      <c r="D870" s="17" t="s">
        <v>645</v>
      </c>
      <c r="E870" s="27" t="s">
        <v>882</v>
      </c>
      <c r="F870" s="17"/>
      <c r="G870" s="14">
        <f>SUM(G871:G873)</f>
        <v>1246.1499999999999</v>
      </c>
      <c r="H870" s="14">
        <f t="shared" ref="H870:I870" si="502">SUM(H871:H873)</f>
        <v>0</v>
      </c>
      <c r="I870" s="14">
        <f t="shared" si="502"/>
        <v>0</v>
      </c>
    </row>
    <row r="871" spans="1:9" ht="36" x14ac:dyDescent="0.25">
      <c r="A871" s="18">
        <f t="shared" si="490"/>
        <v>860</v>
      </c>
      <c r="B871" s="16" t="s">
        <v>106</v>
      </c>
      <c r="C871" s="17" t="s">
        <v>584</v>
      </c>
      <c r="D871" s="17" t="s">
        <v>645</v>
      </c>
      <c r="E871" s="27" t="s">
        <v>882</v>
      </c>
      <c r="F871" s="17">
        <v>110</v>
      </c>
      <c r="G871" s="14">
        <v>583.76</v>
      </c>
      <c r="H871" s="14">
        <v>0</v>
      </c>
      <c r="I871" s="14">
        <v>0</v>
      </c>
    </row>
    <row r="872" spans="1:9" ht="54" x14ac:dyDescent="0.25">
      <c r="A872" s="18">
        <f t="shared" si="490"/>
        <v>861</v>
      </c>
      <c r="B872" s="16" t="s">
        <v>857</v>
      </c>
      <c r="C872" s="17" t="s">
        <v>584</v>
      </c>
      <c r="D872" s="17" t="s">
        <v>645</v>
      </c>
      <c r="E872" s="27" t="s">
        <v>882</v>
      </c>
      <c r="F872" s="17">
        <v>120</v>
      </c>
      <c r="G872" s="14">
        <v>304.8</v>
      </c>
      <c r="H872" s="14">
        <v>0</v>
      </c>
      <c r="I872" s="14">
        <v>0</v>
      </c>
    </row>
    <row r="873" spans="1:9" ht="36" x14ac:dyDescent="0.25">
      <c r="A873" s="18"/>
      <c r="B873" s="16" t="s">
        <v>805</v>
      </c>
      <c r="C873" s="17" t="s">
        <v>584</v>
      </c>
      <c r="D873" s="17" t="s">
        <v>645</v>
      </c>
      <c r="E873" s="27" t="s">
        <v>882</v>
      </c>
      <c r="F873" s="17">
        <v>610</v>
      </c>
      <c r="G873" s="14">
        <v>357.59</v>
      </c>
      <c r="H873" s="14">
        <v>0</v>
      </c>
      <c r="I873" s="14">
        <v>0</v>
      </c>
    </row>
    <row r="874" spans="1:9" ht="126" x14ac:dyDescent="0.25">
      <c r="A874" s="18">
        <f>SUM(A872+1)</f>
        <v>862</v>
      </c>
      <c r="B874" s="16" t="s">
        <v>876</v>
      </c>
      <c r="C874" s="17" t="s">
        <v>584</v>
      </c>
      <c r="D874" s="17" t="s">
        <v>645</v>
      </c>
      <c r="E874" s="27" t="s">
        <v>877</v>
      </c>
      <c r="F874" s="17"/>
      <c r="G874" s="14">
        <f>SUM(G875)</f>
        <v>40.44</v>
      </c>
      <c r="H874" s="14">
        <f t="shared" ref="H874:I874" si="503">SUM(H875)</f>
        <v>0</v>
      </c>
      <c r="I874" s="14">
        <f t="shared" si="503"/>
        <v>0</v>
      </c>
    </row>
    <row r="875" spans="1:9" ht="54" x14ac:dyDescent="0.25">
      <c r="A875" s="18">
        <f t="shared" si="490"/>
        <v>863</v>
      </c>
      <c r="B875" s="16" t="s">
        <v>857</v>
      </c>
      <c r="C875" s="17" t="s">
        <v>584</v>
      </c>
      <c r="D875" s="17" t="s">
        <v>645</v>
      </c>
      <c r="E875" s="27" t="s">
        <v>877</v>
      </c>
      <c r="F875" s="17">
        <v>120</v>
      </c>
      <c r="G875" s="14">
        <v>40.44</v>
      </c>
      <c r="H875" s="14">
        <v>0</v>
      </c>
      <c r="I875" s="14">
        <v>0</v>
      </c>
    </row>
    <row r="876" spans="1:9" ht="24" customHeight="1" x14ac:dyDescent="0.25">
      <c r="A876" s="19">
        <f t="shared" si="490"/>
        <v>864</v>
      </c>
      <c r="B876" s="20" t="s">
        <v>467</v>
      </c>
      <c r="C876" s="21" t="s">
        <v>584</v>
      </c>
      <c r="D876" s="21" t="s">
        <v>468</v>
      </c>
      <c r="E876" s="21"/>
      <c r="F876" s="21"/>
      <c r="G876" s="13">
        <f>SUM(G877)</f>
        <v>2257.44</v>
      </c>
      <c r="H876" s="13">
        <f t="shared" ref="H876:I876" si="504">SUM(H877)</f>
        <v>0</v>
      </c>
      <c r="I876" s="13">
        <f t="shared" si="504"/>
        <v>0</v>
      </c>
    </row>
    <row r="877" spans="1:9" ht="18" x14ac:dyDescent="0.25">
      <c r="A877" s="19">
        <f t="shared" si="490"/>
        <v>865</v>
      </c>
      <c r="B877" s="20" t="s">
        <v>469</v>
      </c>
      <c r="C877" s="21" t="s">
        <v>584</v>
      </c>
      <c r="D877" s="21" t="s">
        <v>470</v>
      </c>
      <c r="E877" s="21"/>
      <c r="F877" s="21"/>
      <c r="G877" s="13">
        <f>SUM(G878)</f>
        <v>2257.44</v>
      </c>
      <c r="H877" s="13">
        <f t="shared" ref="H877:I877" si="505">SUM(H878)</f>
        <v>0</v>
      </c>
      <c r="I877" s="13">
        <f t="shared" si="505"/>
        <v>0</v>
      </c>
    </row>
    <row r="878" spans="1:9" ht="72" x14ac:dyDescent="0.25">
      <c r="A878" s="18">
        <f t="shared" si="490"/>
        <v>866</v>
      </c>
      <c r="B878" s="16" t="s">
        <v>589</v>
      </c>
      <c r="C878" s="17" t="s">
        <v>584</v>
      </c>
      <c r="D878" s="17" t="s">
        <v>470</v>
      </c>
      <c r="E878" s="17" t="s">
        <v>590</v>
      </c>
      <c r="F878" s="17"/>
      <c r="G878" s="14">
        <f>SUM(G879)</f>
        <v>2257.44</v>
      </c>
      <c r="H878" s="14">
        <f t="shared" ref="H878:I878" si="506">SUM(H879)</f>
        <v>0</v>
      </c>
      <c r="I878" s="14">
        <f t="shared" si="506"/>
        <v>0</v>
      </c>
    </row>
    <row r="879" spans="1:9" ht="54" x14ac:dyDescent="0.25">
      <c r="A879" s="18">
        <f t="shared" si="490"/>
        <v>867</v>
      </c>
      <c r="B879" s="16" t="s">
        <v>608</v>
      </c>
      <c r="C879" s="17" t="s">
        <v>584</v>
      </c>
      <c r="D879" s="17" t="s">
        <v>470</v>
      </c>
      <c r="E879" s="17" t="s">
        <v>609</v>
      </c>
      <c r="F879" s="17"/>
      <c r="G879" s="14">
        <f>SUM(G880)</f>
        <v>2257.44</v>
      </c>
      <c r="H879" s="14">
        <f t="shared" ref="H879:I879" si="507">SUM(H880)</f>
        <v>0</v>
      </c>
      <c r="I879" s="14">
        <f t="shared" si="507"/>
        <v>0</v>
      </c>
    </row>
    <row r="880" spans="1:9" ht="111" customHeight="1" x14ac:dyDescent="0.25">
      <c r="A880" s="18">
        <f t="shared" si="490"/>
        <v>868</v>
      </c>
      <c r="B880" s="16" t="s">
        <v>658</v>
      </c>
      <c r="C880" s="17" t="s">
        <v>584</v>
      </c>
      <c r="D880" s="17" t="s">
        <v>470</v>
      </c>
      <c r="E880" s="17" t="s">
        <v>659</v>
      </c>
      <c r="F880" s="17"/>
      <c r="G880" s="14">
        <f>SUM(G881)</f>
        <v>2257.44</v>
      </c>
      <c r="H880" s="14">
        <f t="shared" ref="H880:I880" si="508">SUM(H881)</f>
        <v>0</v>
      </c>
      <c r="I880" s="14">
        <f t="shared" si="508"/>
        <v>0</v>
      </c>
    </row>
    <row r="881" spans="1:9" ht="36" x14ac:dyDescent="0.25">
      <c r="A881" s="18">
        <f t="shared" si="490"/>
        <v>869</v>
      </c>
      <c r="B881" s="16" t="s">
        <v>272</v>
      </c>
      <c r="C881" s="17" t="s">
        <v>584</v>
      </c>
      <c r="D881" s="17" t="s">
        <v>470</v>
      </c>
      <c r="E881" s="17" t="s">
        <v>659</v>
      </c>
      <c r="F881" s="17" t="s">
        <v>273</v>
      </c>
      <c r="G881" s="14">
        <f>2371.85-114.41</f>
        <v>2257.44</v>
      </c>
      <c r="H881" s="14">
        <v>0</v>
      </c>
      <c r="I881" s="14">
        <v>0</v>
      </c>
    </row>
    <row r="882" spans="1:9" ht="18" x14ac:dyDescent="0.25">
      <c r="A882" s="19">
        <f t="shared" si="490"/>
        <v>870</v>
      </c>
      <c r="B882" s="20" t="s">
        <v>481</v>
      </c>
      <c r="C882" s="21" t="s">
        <v>584</v>
      </c>
      <c r="D882" s="21" t="s">
        <v>482</v>
      </c>
      <c r="E882" s="21"/>
      <c r="F882" s="21"/>
      <c r="G882" s="13">
        <f>SUM(G883)</f>
        <v>659.69999999999993</v>
      </c>
      <c r="H882" s="13">
        <f t="shared" ref="H882:I882" si="509">SUM(H883)</f>
        <v>620.70000000000005</v>
      </c>
      <c r="I882" s="13">
        <f t="shared" si="509"/>
        <v>648.70000000000005</v>
      </c>
    </row>
    <row r="883" spans="1:9" ht="18" x14ac:dyDescent="0.25">
      <c r="A883" s="19">
        <f t="shared" si="490"/>
        <v>871</v>
      </c>
      <c r="B883" s="20" t="s">
        <v>522</v>
      </c>
      <c r="C883" s="21" t="s">
        <v>584</v>
      </c>
      <c r="D883" s="21" t="s">
        <v>523</v>
      </c>
      <c r="E883" s="21"/>
      <c r="F883" s="21"/>
      <c r="G883" s="13">
        <f>SUM(G884)</f>
        <v>659.69999999999993</v>
      </c>
      <c r="H883" s="13">
        <f t="shared" ref="H883:I883" si="510">SUM(H884)</f>
        <v>620.70000000000005</v>
      </c>
      <c r="I883" s="13">
        <f t="shared" si="510"/>
        <v>648.70000000000005</v>
      </c>
    </row>
    <row r="884" spans="1:9" ht="72" x14ac:dyDescent="0.25">
      <c r="A884" s="18">
        <f t="shared" si="490"/>
        <v>872</v>
      </c>
      <c r="B884" s="16" t="s">
        <v>589</v>
      </c>
      <c r="C884" s="17" t="s">
        <v>584</v>
      </c>
      <c r="D884" s="17" t="s">
        <v>523</v>
      </c>
      <c r="E884" s="17" t="s">
        <v>590</v>
      </c>
      <c r="F884" s="17"/>
      <c r="G884" s="14">
        <f>SUM(G885)</f>
        <v>659.69999999999993</v>
      </c>
      <c r="H884" s="14">
        <f t="shared" ref="H884:I884" si="511">SUM(H885)</f>
        <v>620.70000000000005</v>
      </c>
      <c r="I884" s="14">
        <f t="shared" si="511"/>
        <v>648.70000000000005</v>
      </c>
    </row>
    <row r="885" spans="1:9" ht="54" x14ac:dyDescent="0.25">
      <c r="A885" s="18">
        <f t="shared" si="490"/>
        <v>873</v>
      </c>
      <c r="B885" s="16" t="s">
        <v>608</v>
      </c>
      <c r="C885" s="17" t="s">
        <v>584</v>
      </c>
      <c r="D885" s="17" t="s">
        <v>523</v>
      </c>
      <c r="E885" s="17" t="s">
        <v>609</v>
      </c>
      <c r="F885" s="17"/>
      <c r="G885" s="14">
        <f>SUM(G888+G886)</f>
        <v>659.69999999999993</v>
      </c>
      <c r="H885" s="14">
        <f t="shared" ref="H885:I885" si="512">SUM(H888+H886)</f>
        <v>620.70000000000005</v>
      </c>
      <c r="I885" s="14">
        <f t="shared" si="512"/>
        <v>648.70000000000005</v>
      </c>
    </row>
    <row r="886" spans="1:9" ht="144" x14ac:dyDescent="0.25">
      <c r="A886" s="18">
        <f t="shared" si="490"/>
        <v>874</v>
      </c>
      <c r="B886" s="16" t="s">
        <v>827</v>
      </c>
      <c r="C886" s="17" t="s">
        <v>584</v>
      </c>
      <c r="D886" s="17" t="s">
        <v>523</v>
      </c>
      <c r="E886" s="27" t="s">
        <v>828</v>
      </c>
      <c r="F886" s="17"/>
      <c r="G886" s="14">
        <f>SUM(G887)</f>
        <v>65.400000000000006</v>
      </c>
      <c r="H886" s="14">
        <f t="shared" ref="H886:I886" si="513">SUM(H887)</f>
        <v>0</v>
      </c>
      <c r="I886" s="14">
        <f t="shared" si="513"/>
        <v>0</v>
      </c>
    </row>
    <row r="887" spans="1:9" ht="54" x14ac:dyDescent="0.25">
      <c r="A887" s="18">
        <f t="shared" si="490"/>
        <v>875</v>
      </c>
      <c r="B887" s="16" t="s">
        <v>491</v>
      </c>
      <c r="C887" s="17" t="s">
        <v>584</v>
      </c>
      <c r="D887" s="17" t="s">
        <v>523</v>
      </c>
      <c r="E887" s="27" t="s">
        <v>828</v>
      </c>
      <c r="F887" s="17">
        <v>320</v>
      </c>
      <c r="G887" s="14">
        <v>65.400000000000006</v>
      </c>
      <c r="H887" s="14">
        <v>0</v>
      </c>
      <c r="I887" s="14">
        <v>0</v>
      </c>
    </row>
    <row r="888" spans="1:9" ht="90" x14ac:dyDescent="0.25">
      <c r="A888" s="18">
        <f t="shared" si="490"/>
        <v>876</v>
      </c>
      <c r="B888" s="16" t="s">
        <v>614</v>
      </c>
      <c r="C888" s="17" t="s">
        <v>584</v>
      </c>
      <c r="D888" s="17" t="s">
        <v>523</v>
      </c>
      <c r="E888" s="17" t="s">
        <v>615</v>
      </c>
      <c r="F888" s="17"/>
      <c r="G888" s="14">
        <f>SUM(G889)</f>
        <v>594.29999999999995</v>
      </c>
      <c r="H888" s="14">
        <f t="shared" ref="H888:I888" si="514">SUM(H889)</f>
        <v>620.70000000000005</v>
      </c>
      <c r="I888" s="14">
        <f t="shared" si="514"/>
        <v>648.70000000000005</v>
      </c>
    </row>
    <row r="889" spans="1:9" ht="54" x14ac:dyDescent="0.25">
      <c r="A889" s="18">
        <f t="shared" si="490"/>
        <v>877</v>
      </c>
      <c r="B889" s="16" t="s">
        <v>491</v>
      </c>
      <c r="C889" s="17" t="s">
        <v>584</v>
      </c>
      <c r="D889" s="17" t="s">
        <v>523</v>
      </c>
      <c r="E889" s="17" t="s">
        <v>615</v>
      </c>
      <c r="F889" s="17" t="s">
        <v>492</v>
      </c>
      <c r="G889" s="14">
        <v>594.29999999999995</v>
      </c>
      <c r="H889" s="14">
        <v>620.70000000000005</v>
      </c>
      <c r="I889" s="14">
        <v>648.70000000000005</v>
      </c>
    </row>
    <row r="890" spans="1:9" ht="36" x14ac:dyDescent="0.25">
      <c r="A890" s="19">
        <f t="shared" si="490"/>
        <v>878</v>
      </c>
      <c r="B890" s="20" t="s">
        <v>540</v>
      </c>
      <c r="C890" s="21" t="s">
        <v>584</v>
      </c>
      <c r="D890" s="21" t="s">
        <v>541</v>
      </c>
      <c r="E890" s="21"/>
      <c r="F890" s="21"/>
      <c r="G890" s="13">
        <f>SUM(G891+G904)</f>
        <v>22653.47</v>
      </c>
      <c r="H890" s="13">
        <f t="shared" ref="H890:I890" si="515">SUM(H891+H904)</f>
        <v>23862.69</v>
      </c>
      <c r="I890" s="13">
        <f t="shared" si="515"/>
        <v>25677.479999999996</v>
      </c>
    </row>
    <row r="891" spans="1:9" ht="18" x14ac:dyDescent="0.25">
      <c r="A891" s="19">
        <f t="shared" si="490"/>
        <v>879</v>
      </c>
      <c r="B891" s="20" t="s">
        <v>542</v>
      </c>
      <c r="C891" s="21" t="s">
        <v>584</v>
      </c>
      <c r="D891" s="21" t="s">
        <v>543</v>
      </c>
      <c r="E891" s="21"/>
      <c r="F891" s="21"/>
      <c r="G891" s="13">
        <f>SUM(G892+G901)</f>
        <v>11140.41</v>
      </c>
      <c r="H891" s="13">
        <f t="shared" ref="H891:I891" si="516">SUM(H892+H901)</f>
        <v>11383.88</v>
      </c>
      <c r="I891" s="13">
        <f t="shared" si="516"/>
        <v>11790.099999999999</v>
      </c>
    </row>
    <row r="892" spans="1:9" ht="72" x14ac:dyDescent="0.25">
      <c r="A892" s="18">
        <f t="shared" si="490"/>
        <v>880</v>
      </c>
      <c r="B892" s="16" t="s">
        <v>589</v>
      </c>
      <c r="C892" s="17" t="s">
        <v>584</v>
      </c>
      <c r="D892" s="17" t="s">
        <v>543</v>
      </c>
      <c r="E892" s="17" t="s">
        <v>590</v>
      </c>
      <c r="F892" s="17"/>
      <c r="G892" s="14">
        <f>SUM(G893+G898)</f>
        <v>11022.27</v>
      </c>
      <c r="H892" s="14">
        <f t="shared" ref="H892:I892" si="517">SUM(H893+H898)</f>
        <v>11383.88</v>
      </c>
      <c r="I892" s="14">
        <f t="shared" si="517"/>
        <v>11790.099999999999</v>
      </c>
    </row>
    <row r="893" spans="1:9" ht="76.5" customHeight="1" x14ac:dyDescent="0.25">
      <c r="A893" s="18">
        <f t="shared" si="490"/>
        <v>881</v>
      </c>
      <c r="B893" s="16" t="s">
        <v>632</v>
      </c>
      <c r="C893" s="17" t="s">
        <v>584</v>
      </c>
      <c r="D893" s="17" t="s">
        <v>543</v>
      </c>
      <c r="E893" s="17" t="s">
        <v>633</v>
      </c>
      <c r="F893" s="17"/>
      <c r="G893" s="14">
        <f>SUM(G894+G896)</f>
        <v>10987.27</v>
      </c>
      <c r="H893" s="14">
        <f t="shared" ref="H893:I893" si="518">SUM(H894+H896)</f>
        <v>11383.88</v>
      </c>
      <c r="I893" s="14">
        <f t="shared" si="518"/>
        <v>11790.099999999999</v>
      </c>
    </row>
    <row r="894" spans="1:9" ht="72" x14ac:dyDescent="0.25">
      <c r="A894" s="18">
        <f t="shared" si="490"/>
        <v>882</v>
      </c>
      <c r="B894" s="16" t="s">
        <v>640</v>
      </c>
      <c r="C894" s="17" t="s">
        <v>584</v>
      </c>
      <c r="D894" s="17" t="s">
        <v>543</v>
      </c>
      <c r="E894" s="17" t="s">
        <v>641</v>
      </c>
      <c r="F894" s="17"/>
      <c r="G894" s="14">
        <f>SUM(G895)</f>
        <v>8829.84</v>
      </c>
      <c r="H894" s="14">
        <f t="shared" ref="H894:I894" si="519">SUM(H895)</f>
        <v>9388.98</v>
      </c>
      <c r="I894" s="14">
        <f t="shared" si="519"/>
        <v>9738.1299999999992</v>
      </c>
    </row>
    <row r="895" spans="1:9" ht="36" x14ac:dyDescent="0.25">
      <c r="A895" s="18">
        <f t="shared" si="490"/>
        <v>883</v>
      </c>
      <c r="B895" s="16" t="s">
        <v>157</v>
      </c>
      <c r="C895" s="17" t="s">
        <v>584</v>
      </c>
      <c r="D895" s="17" t="s">
        <v>543</v>
      </c>
      <c r="E895" s="17" t="s">
        <v>641</v>
      </c>
      <c r="F895" s="17" t="s">
        <v>158</v>
      </c>
      <c r="G895" s="14">
        <v>8829.84</v>
      </c>
      <c r="H895" s="14">
        <v>9388.98</v>
      </c>
      <c r="I895" s="14">
        <v>9738.1299999999992</v>
      </c>
    </row>
    <row r="896" spans="1:9" ht="56.25" customHeight="1" x14ac:dyDescent="0.25">
      <c r="A896" s="18">
        <f t="shared" si="490"/>
        <v>884</v>
      </c>
      <c r="B896" s="16" t="s">
        <v>642</v>
      </c>
      <c r="C896" s="17" t="s">
        <v>584</v>
      </c>
      <c r="D896" s="17" t="s">
        <v>543</v>
      </c>
      <c r="E896" s="17" t="s">
        <v>643</v>
      </c>
      <c r="F896" s="17"/>
      <c r="G896" s="14">
        <f>SUM(G897)</f>
        <v>2157.4299999999998</v>
      </c>
      <c r="H896" s="14">
        <f t="shared" ref="H896:I896" si="520">SUM(H897)</f>
        <v>1994.9</v>
      </c>
      <c r="I896" s="14">
        <f t="shared" si="520"/>
        <v>2051.9699999999998</v>
      </c>
    </row>
    <row r="897" spans="1:9" ht="36" x14ac:dyDescent="0.25">
      <c r="A897" s="18">
        <f t="shared" si="490"/>
        <v>885</v>
      </c>
      <c r="B897" s="16" t="s">
        <v>157</v>
      </c>
      <c r="C897" s="17" t="s">
        <v>584</v>
      </c>
      <c r="D897" s="17" t="s">
        <v>543</v>
      </c>
      <c r="E897" s="17" t="s">
        <v>643</v>
      </c>
      <c r="F897" s="17" t="s">
        <v>158</v>
      </c>
      <c r="G897" s="14">
        <v>2157.4299999999998</v>
      </c>
      <c r="H897" s="14">
        <v>1994.9</v>
      </c>
      <c r="I897" s="14">
        <v>2051.9699999999998</v>
      </c>
    </row>
    <row r="898" spans="1:9" ht="90" x14ac:dyDescent="0.25">
      <c r="A898" s="18">
        <f t="shared" si="490"/>
        <v>886</v>
      </c>
      <c r="B898" s="16" t="s">
        <v>830</v>
      </c>
      <c r="C898" s="17" t="s">
        <v>584</v>
      </c>
      <c r="D898" s="17" t="s">
        <v>543</v>
      </c>
      <c r="E898" s="27" t="s">
        <v>653</v>
      </c>
      <c r="F898" s="17"/>
      <c r="G898" s="14">
        <f>SUM(G899)</f>
        <v>35</v>
      </c>
      <c r="H898" s="14">
        <f t="shared" ref="H898:I899" si="521">SUM(H899)</f>
        <v>0</v>
      </c>
      <c r="I898" s="14">
        <f t="shared" si="521"/>
        <v>0</v>
      </c>
    </row>
    <row r="899" spans="1:9" ht="72" x14ac:dyDescent="0.25">
      <c r="A899" s="18">
        <f t="shared" si="490"/>
        <v>887</v>
      </c>
      <c r="B899" s="16" t="s">
        <v>829</v>
      </c>
      <c r="C899" s="17" t="s">
        <v>584</v>
      </c>
      <c r="D899" s="17" t="s">
        <v>543</v>
      </c>
      <c r="E899" s="27" t="s">
        <v>773</v>
      </c>
      <c r="F899" s="17"/>
      <c r="G899" s="14">
        <f>SUM(G900)</f>
        <v>35</v>
      </c>
      <c r="H899" s="14">
        <f t="shared" si="521"/>
        <v>0</v>
      </c>
      <c r="I899" s="14">
        <f t="shared" si="521"/>
        <v>0</v>
      </c>
    </row>
    <row r="900" spans="1:9" ht="36" x14ac:dyDescent="0.25">
      <c r="A900" s="18">
        <f t="shared" si="490"/>
        <v>888</v>
      </c>
      <c r="B900" s="16" t="s">
        <v>157</v>
      </c>
      <c r="C900" s="17" t="s">
        <v>584</v>
      </c>
      <c r="D900" s="17" t="s">
        <v>543</v>
      </c>
      <c r="E900" s="27" t="s">
        <v>773</v>
      </c>
      <c r="F900" s="17">
        <v>610</v>
      </c>
      <c r="G900" s="14">
        <v>35</v>
      </c>
      <c r="H900" s="14">
        <v>0</v>
      </c>
      <c r="I900" s="14">
        <v>0</v>
      </c>
    </row>
    <row r="901" spans="1:9" ht="18" x14ac:dyDescent="0.25">
      <c r="A901" s="18">
        <f t="shared" si="490"/>
        <v>889</v>
      </c>
      <c r="B901" s="16" t="s">
        <v>900</v>
      </c>
      <c r="C901" s="17" t="s">
        <v>584</v>
      </c>
      <c r="D901" s="17" t="s">
        <v>543</v>
      </c>
      <c r="E901" s="27" t="s">
        <v>45</v>
      </c>
      <c r="F901" s="17"/>
      <c r="G901" s="14">
        <f>SUM(G902)</f>
        <v>118.14</v>
      </c>
      <c r="H901" s="14">
        <f t="shared" ref="H901:I902" si="522">SUM(H902)</f>
        <v>0</v>
      </c>
      <c r="I901" s="14">
        <f t="shared" si="522"/>
        <v>0</v>
      </c>
    </row>
    <row r="902" spans="1:9" ht="144" x14ac:dyDescent="0.25">
      <c r="A902" s="18">
        <f t="shared" si="490"/>
        <v>890</v>
      </c>
      <c r="B902" s="16" t="s">
        <v>883</v>
      </c>
      <c r="C902" s="17" t="s">
        <v>584</v>
      </c>
      <c r="D902" s="17" t="s">
        <v>543</v>
      </c>
      <c r="E902" s="27" t="s">
        <v>882</v>
      </c>
      <c r="F902" s="17"/>
      <c r="G902" s="14">
        <f>SUM(G903)</f>
        <v>118.14</v>
      </c>
      <c r="H902" s="14">
        <f t="shared" si="522"/>
        <v>0</v>
      </c>
      <c r="I902" s="14">
        <f t="shared" si="522"/>
        <v>0</v>
      </c>
    </row>
    <row r="903" spans="1:9" ht="36" x14ac:dyDescent="0.25">
      <c r="A903" s="18">
        <f t="shared" si="490"/>
        <v>891</v>
      </c>
      <c r="B903" s="16" t="s">
        <v>157</v>
      </c>
      <c r="C903" s="17" t="s">
        <v>584</v>
      </c>
      <c r="D903" s="17" t="s">
        <v>543</v>
      </c>
      <c r="E903" s="27" t="s">
        <v>882</v>
      </c>
      <c r="F903" s="17">
        <v>610</v>
      </c>
      <c r="G903" s="14">
        <v>118.14</v>
      </c>
      <c r="H903" s="14">
        <v>0</v>
      </c>
      <c r="I903" s="14">
        <v>0</v>
      </c>
    </row>
    <row r="904" spans="1:9" ht="18" x14ac:dyDescent="0.25">
      <c r="A904" s="19">
        <f t="shared" si="490"/>
        <v>892</v>
      </c>
      <c r="B904" s="20" t="s">
        <v>565</v>
      </c>
      <c r="C904" s="21" t="s">
        <v>584</v>
      </c>
      <c r="D904" s="21" t="s">
        <v>566</v>
      </c>
      <c r="E904" s="21"/>
      <c r="F904" s="21"/>
      <c r="G904" s="13">
        <f>SUM(G905)</f>
        <v>11513.06</v>
      </c>
      <c r="H904" s="13">
        <f t="shared" ref="H904:I905" si="523">SUM(H905)</f>
        <v>12478.81</v>
      </c>
      <c r="I904" s="13">
        <f t="shared" si="523"/>
        <v>13887.38</v>
      </c>
    </row>
    <row r="905" spans="1:9" ht="72" x14ac:dyDescent="0.25">
      <c r="A905" s="18">
        <f t="shared" si="490"/>
        <v>893</v>
      </c>
      <c r="B905" s="16" t="s">
        <v>589</v>
      </c>
      <c r="C905" s="17" t="s">
        <v>584</v>
      </c>
      <c r="D905" s="17" t="s">
        <v>566</v>
      </c>
      <c r="E905" s="17" t="s">
        <v>590</v>
      </c>
      <c r="F905" s="17"/>
      <c r="G905" s="14">
        <f>SUM(G906)</f>
        <v>11513.06</v>
      </c>
      <c r="H905" s="14">
        <f t="shared" si="523"/>
        <v>12478.81</v>
      </c>
      <c r="I905" s="14">
        <f t="shared" si="523"/>
        <v>13887.38</v>
      </c>
    </row>
    <row r="906" spans="1:9" ht="78.75" customHeight="1" x14ac:dyDescent="0.25">
      <c r="A906" s="18">
        <f t="shared" si="490"/>
        <v>894</v>
      </c>
      <c r="B906" s="16" t="s">
        <v>632</v>
      </c>
      <c r="C906" s="17" t="s">
        <v>584</v>
      </c>
      <c r="D906" s="17" t="s">
        <v>566</v>
      </c>
      <c r="E906" s="17" t="s">
        <v>633</v>
      </c>
      <c r="F906" s="17"/>
      <c r="G906" s="14">
        <f>SUM(G907)</f>
        <v>11513.06</v>
      </c>
      <c r="H906" s="14">
        <f t="shared" ref="H906:I906" si="524">SUM(H907)</f>
        <v>12478.81</v>
      </c>
      <c r="I906" s="14">
        <f t="shared" si="524"/>
        <v>13887.38</v>
      </c>
    </row>
    <row r="907" spans="1:9" ht="72" x14ac:dyDescent="0.25">
      <c r="A907" s="18">
        <f t="shared" si="490"/>
        <v>895</v>
      </c>
      <c r="B907" s="16" t="s">
        <v>640</v>
      </c>
      <c r="C907" s="17" t="s">
        <v>584</v>
      </c>
      <c r="D907" s="17" t="s">
        <v>566</v>
      </c>
      <c r="E907" s="17" t="s">
        <v>641</v>
      </c>
      <c r="F907" s="17"/>
      <c r="G907" s="14">
        <f>SUM(G908)</f>
        <v>11513.06</v>
      </c>
      <c r="H907" s="14">
        <f t="shared" ref="H907:I907" si="525">SUM(H908)</f>
        <v>12478.81</v>
      </c>
      <c r="I907" s="14">
        <f t="shared" si="525"/>
        <v>13887.38</v>
      </c>
    </row>
    <row r="908" spans="1:9" ht="36" x14ac:dyDescent="0.25">
      <c r="A908" s="18">
        <f t="shared" si="490"/>
        <v>896</v>
      </c>
      <c r="B908" s="16" t="s">
        <v>157</v>
      </c>
      <c r="C908" s="17" t="s">
        <v>584</v>
      </c>
      <c r="D908" s="17" t="s">
        <v>566</v>
      </c>
      <c r="E908" s="17" t="s">
        <v>641</v>
      </c>
      <c r="F908" s="17" t="s">
        <v>158</v>
      </c>
      <c r="G908" s="14">
        <v>11513.06</v>
      </c>
      <c r="H908" s="14">
        <v>12478.81</v>
      </c>
      <c r="I908" s="14">
        <v>13887.38</v>
      </c>
    </row>
    <row r="909" spans="1:9" ht="57.75" customHeight="1" x14ac:dyDescent="0.25">
      <c r="A909" s="19">
        <f t="shared" si="490"/>
        <v>897</v>
      </c>
      <c r="B909" s="20" t="s">
        <v>660</v>
      </c>
      <c r="C909" s="21" t="s">
        <v>661</v>
      </c>
      <c r="D909" s="21"/>
      <c r="E909" s="21"/>
      <c r="F909" s="21"/>
      <c r="G909" s="13">
        <f>SUM(G915+G923+G929+G944+G994+G910)</f>
        <v>225112.44999999998</v>
      </c>
      <c r="H909" s="13">
        <f t="shared" ref="H909:I909" si="526">SUM(H915+H923+H929+H944+H994+H910)</f>
        <v>223968.05000000002</v>
      </c>
      <c r="I909" s="13">
        <f t="shared" si="526"/>
        <v>228099.02000000002</v>
      </c>
    </row>
    <row r="910" spans="1:9" s="26" customFormat="1" ht="57.75" customHeight="1" x14ac:dyDescent="0.25">
      <c r="A910" s="19">
        <f t="shared" si="490"/>
        <v>898</v>
      </c>
      <c r="B910" s="20" t="s">
        <v>880</v>
      </c>
      <c r="C910" s="21" t="s">
        <v>661</v>
      </c>
      <c r="D910" s="28" t="s">
        <v>91</v>
      </c>
      <c r="E910" s="28"/>
      <c r="F910" s="28"/>
      <c r="G910" s="13">
        <f>SUM(G911)</f>
        <v>10</v>
      </c>
      <c r="H910" s="13">
        <f t="shared" ref="H910:I913" si="527">SUM(H911)</f>
        <v>0</v>
      </c>
      <c r="I910" s="13">
        <f t="shared" si="527"/>
        <v>0</v>
      </c>
    </row>
    <row r="911" spans="1:9" s="26" customFormat="1" ht="57.75" customHeight="1" x14ac:dyDescent="0.25">
      <c r="A911" s="19">
        <f t="shared" si="490"/>
        <v>899</v>
      </c>
      <c r="B911" s="20" t="s">
        <v>868</v>
      </c>
      <c r="C911" s="21" t="s">
        <v>661</v>
      </c>
      <c r="D911" s="28" t="s">
        <v>133</v>
      </c>
      <c r="E911" s="28"/>
      <c r="F911" s="28"/>
      <c r="G911" s="13">
        <f>SUM(G912)</f>
        <v>10</v>
      </c>
      <c r="H911" s="13">
        <f t="shared" si="527"/>
        <v>0</v>
      </c>
      <c r="I911" s="13">
        <f t="shared" si="527"/>
        <v>0</v>
      </c>
    </row>
    <row r="912" spans="1:9" s="32" customFormat="1" ht="117" customHeight="1" x14ac:dyDescent="0.25">
      <c r="A912" s="18">
        <f t="shared" si="490"/>
        <v>900</v>
      </c>
      <c r="B912" s="16" t="s">
        <v>869</v>
      </c>
      <c r="C912" s="17" t="s">
        <v>661</v>
      </c>
      <c r="D912" s="27" t="s">
        <v>133</v>
      </c>
      <c r="E912" s="27" t="s">
        <v>154</v>
      </c>
      <c r="F912" s="27"/>
      <c r="G912" s="14">
        <f>SUM(G913)</f>
        <v>10</v>
      </c>
      <c r="H912" s="14">
        <f t="shared" si="527"/>
        <v>0</v>
      </c>
      <c r="I912" s="14">
        <f t="shared" si="527"/>
        <v>0</v>
      </c>
    </row>
    <row r="913" spans="1:9" s="32" customFormat="1" ht="57.75" customHeight="1" x14ac:dyDescent="0.25">
      <c r="A913" s="18">
        <f t="shared" si="490"/>
        <v>901</v>
      </c>
      <c r="B913" s="16" t="s">
        <v>871</v>
      </c>
      <c r="C913" s="17" t="s">
        <v>661</v>
      </c>
      <c r="D913" s="27" t="s">
        <v>133</v>
      </c>
      <c r="E913" s="27" t="s">
        <v>870</v>
      </c>
      <c r="F913" s="27"/>
      <c r="G913" s="14">
        <f>SUM(G914)</f>
        <v>10</v>
      </c>
      <c r="H913" s="14">
        <f t="shared" si="527"/>
        <v>0</v>
      </c>
      <c r="I913" s="14">
        <f t="shared" si="527"/>
        <v>0</v>
      </c>
    </row>
    <row r="914" spans="1:9" s="32" customFormat="1" ht="40.5" customHeight="1" x14ac:dyDescent="0.25">
      <c r="A914" s="18">
        <f t="shared" si="490"/>
        <v>902</v>
      </c>
      <c r="B914" s="16" t="s">
        <v>805</v>
      </c>
      <c r="C914" s="17" t="s">
        <v>661</v>
      </c>
      <c r="D914" s="27" t="s">
        <v>133</v>
      </c>
      <c r="E914" s="27" t="s">
        <v>870</v>
      </c>
      <c r="F914" s="27" t="s">
        <v>158</v>
      </c>
      <c r="G914" s="14">
        <v>10</v>
      </c>
      <c r="H914" s="14">
        <v>0</v>
      </c>
      <c r="I914" s="14">
        <v>0</v>
      </c>
    </row>
    <row r="915" spans="1:9" ht="23.25" customHeight="1" x14ac:dyDescent="0.25">
      <c r="A915" s="19">
        <f t="shared" si="490"/>
        <v>903</v>
      </c>
      <c r="B915" s="20" t="s">
        <v>159</v>
      </c>
      <c r="C915" s="21" t="s">
        <v>661</v>
      </c>
      <c r="D915" s="21" t="s">
        <v>160</v>
      </c>
      <c r="E915" s="21"/>
      <c r="F915" s="21"/>
      <c r="G915" s="13">
        <f>SUM(G916)</f>
        <v>288.26</v>
      </c>
      <c r="H915" s="13">
        <f t="shared" ref="H915:I915" si="528">SUM(H916)</f>
        <v>258.26</v>
      </c>
      <c r="I915" s="13">
        <f t="shared" si="528"/>
        <v>119.09</v>
      </c>
    </row>
    <row r="916" spans="1:9" ht="36" x14ac:dyDescent="0.25">
      <c r="A916" s="19">
        <f t="shared" si="490"/>
        <v>904</v>
      </c>
      <c r="B916" s="20" t="s">
        <v>237</v>
      </c>
      <c r="C916" s="21" t="s">
        <v>661</v>
      </c>
      <c r="D916" s="21" t="s">
        <v>238</v>
      </c>
      <c r="E916" s="21"/>
      <c r="F916" s="21"/>
      <c r="G916" s="13">
        <f>SUM(G917)</f>
        <v>288.26</v>
      </c>
      <c r="H916" s="13">
        <f t="shared" ref="H916:I916" si="529">SUM(H917)</f>
        <v>258.26</v>
      </c>
      <c r="I916" s="13">
        <f t="shared" si="529"/>
        <v>119.09</v>
      </c>
    </row>
    <row r="917" spans="1:9" ht="72" x14ac:dyDescent="0.25">
      <c r="A917" s="18">
        <f t="shared" si="490"/>
        <v>905</v>
      </c>
      <c r="B917" s="16" t="s">
        <v>662</v>
      </c>
      <c r="C917" s="17" t="s">
        <v>661</v>
      </c>
      <c r="D917" s="17" t="s">
        <v>238</v>
      </c>
      <c r="E917" s="17" t="s">
        <v>663</v>
      </c>
      <c r="F917" s="17"/>
      <c r="G917" s="14">
        <f>SUM(G918)</f>
        <v>288.26</v>
      </c>
      <c r="H917" s="14">
        <f t="shared" ref="H917:I917" si="530">SUM(H918)</f>
        <v>258.26</v>
      </c>
      <c r="I917" s="14">
        <f t="shared" si="530"/>
        <v>119.09</v>
      </c>
    </row>
    <row r="918" spans="1:9" ht="54" x14ac:dyDescent="0.25">
      <c r="A918" s="18">
        <f t="shared" si="490"/>
        <v>906</v>
      </c>
      <c r="B918" s="16" t="s">
        <v>664</v>
      </c>
      <c r="C918" s="17" t="s">
        <v>661</v>
      </c>
      <c r="D918" s="17" t="s">
        <v>238</v>
      </c>
      <c r="E918" s="17" t="s">
        <v>665</v>
      </c>
      <c r="F918" s="17"/>
      <c r="G918" s="14">
        <f>SUM(G919+G921)</f>
        <v>288.26</v>
      </c>
      <c r="H918" s="14">
        <f t="shared" ref="H918:I918" si="531">SUM(H919+H921)</f>
        <v>258.26</v>
      </c>
      <c r="I918" s="14">
        <f t="shared" si="531"/>
        <v>119.09</v>
      </c>
    </row>
    <row r="919" spans="1:9" ht="72" x14ac:dyDescent="0.25">
      <c r="A919" s="18">
        <f t="shared" ref="A919:A987" si="532">SUM(A918+1)</f>
        <v>907</v>
      </c>
      <c r="B919" s="16" t="s">
        <v>666</v>
      </c>
      <c r="C919" s="17" t="s">
        <v>661</v>
      </c>
      <c r="D919" s="17" t="s">
        <v>238</v>
      </c>
      <c r="E919" s="17" t="s">
        <v>667</v>
      </c>
      <c r="F919" s="17"/>
      <c r="G919" s="14">
        <f>SUM(G920)</f>
        <v>108.26</v>
      </c>
      <c r="H919" s="14">
        <f t="shared" ref="H919:I919" si="533">SUM(H920)</f>
        <v>108.26</v>
      </c>
      <c r="I919" s="14">
        <f t="shared" si="533"/>
        <v>108.26</v>
      </c>
    </row>
    <row r="920" spans="1:9" ht="56.25" customHeight="1" x14ac:dyDescent="0.25">
      <c r="A920" s="18">
        <f t="shared" si="532"/>
        <v>908</v>
      </c>
      <c r="B920" s="16" t="s">
        <v>33</v>
      </c>
      <c r="C920" s="17" t="s">
        <v>661</v>
      </c>
      <c r="D920" s="17" t="s">
        <v>238</v>
      </c>
      <c r="E920" s="17" t="s">
        <v>667</v>
      </c>
      <c r="F920" s="17" t="s">
        <v>34</v>
      </c>
      <c r="G920" s="14">
        <v>108.26</v>
      </c>
      <c r="H920" s="14">
        <v>108.26</v>
      </c>
      <c r="I920" s="14">
        <v>108.26</v>
      </c>
    </row>
    <row r="921" spans="1:9" ht="93" customHeight="1" x14ac:dyDescent="0.25">
      <c r="A921" s="18">
        <f t="shared" si="532"/>
        <v>909</v>
      </c>
      <c r="B921" s="16" t="s">
        <v>668</v>
      </c>
      <c r="C921" s="17" t="s">
        <v>661</v>
      </c>
      <c r="D921" s="17" t="s">
        <v>238</v>
      </c>
      <c r="E921" s="17" t="s">
        <v>669</v>
      </c>
      <c r="F921" s="17"/>
      <c r="G921" s="14">
        <f>SUM(G922)</f>
        <v>180</v>
      </c>
      <c r="H921" s="14">
        <f t="shared" ref="H921:I921" si="534">SUM(H922)</f>
        <v>150</v>
      </c>
      <c r="I921" s="14">
        <f t="shared" si="534"/>
        <v>10.83</v>
      </c>
    </row>
    <row r="922" spans="1:9" ht="57" customHeight="1" x14ac:dyDescent="0.25">
      <c r="A922" s="18">
        <f t="shared" si="532"/>
        <v>910</v>
      </c>
      <c r="B922" s="16" t="s">
        <v>33</v>
      </c>
      <c r="C922" s="17" t="s">
        <v>661</v>
      </c>
      <c r="D922" s="17" t="s">
        <v>238</v>
      </c>
      <c r="E922" s="17" t="s">
        <v>669</v>
      </c>
      <c r="F922" s="17" t="s">
        <v>34</v>
      </c>
      <c r="G922" s="14">
        <v>180</v>
      </c>
      <c r="H922" s="14">
        <v>150</v>
      </c>
      <c r="I922" s="14">
        <v>10.83</v>
      </c>
    </row>
    <row r="923" spans="1:9" ht="36" x14ac:dyDescent="0.25">
      <c r="A923" s="19">
        <f t="shared" si="532"/>
        <v>911</v>
      </c>
      <c r="B923" s="20" t="s">
        <v>274</v>
      </c>
      <c r="C923" s="21" t="s">
        <v>661</v>
      </c>
      <c r="D923" s="21" t="s">
        <v>275</v>
      </c>
      <c r="E923" s="21"/>
      <c r="F923" s="21"/>
      <c r="G923" s="13">
        <f>SUM(G924)</f>
        <v>146.19999999999999</v>
      </c>
      <c r="H923" s="13">
        <f t="shared" ref="H923:I923" si="535">SUM(H924)</f>
        <v>0</v>
      </c>
      <c r="I923" s="13">
        <f t="shared" si="535"/>
        <v>0</v>
      </c>
    </row>
    <row r="924" spans="1:9" ht="18" x14ac:dyDescent="0.25">
      <c r="A924" s="19">
        <f t="shared" si="532"/>
        <v>912</v>
      </c>
      <c r="B924" s="20" t="s">
        <v>300</v>
      </c>
      <c r="C924" s="21" t="s">
        <v>661</v>
      </c>
      <c r="D924" s="21" t="s">
        <v>301</v>
      </c>
      <c r="E924" s="21"/>
      <c r="F924" s="21"/>
      <c r="G924" s="13">
        <f>SUM(G925)</f>
        <v>146.19999999999999</v>
      </c>
      <c r="H924" s="13">
        <f t="shared" ref="H924:I924" si="536">SUM(H925)</f>
        <v>0</v>
      </c>
      <c r="I924" s="13">
        <f t="shared" si="536"/>
        <v>0</v>
      </c>
    </row>
    <row r="925" spans="1:9" ht="76.5" customHeight="1" x14ac:dyDescent="0.25">
      <c r="A925" s="18">
        <f t="shared" si="532"/>
        <v>913</v>
      </c>
      <c r="B925" s="16" t="s">
        <v>239</v>
      </c>
      <c r="C925" s="17" t="s">
        <v>661</v>
      </c>
      <c r="D925" s="17" t="s">
        <v>301</v>
      </c>
      <c r="E925" s="17" t="s">
        <v>240</v>
      </c>
      <c r="F925" s="17"/>
      <c r="G925" s="14">
        <f>SUM(G926)</f>
        <v>146.19999999999999</v>
      </c>
      <c r="H925" s="14">
        <f t="shared" ref="H925:I925" si="537">SUM(H926)</f>
        <v>0</v>
      </c>
      <c r="I925" s="14">
        <f t="shared" si="537"/>
        <v>0</v>
      </c>
    </row>
    <row r="926" spans="1:9" ht="38.25" customHeight="1" x14ac:dyDescent="0.25">
      <c r="A926" s="18">
        <f t="shared" si="532"/>
        <v>914</v>
      </c>
      <c r="B926" s="16" t="s">
        <v>302</v>
      </c>
      <c r="C926" s="17" t="s">
        <v>661</v>
      </c>
      <c r="D926" s="17" t="s">
        <v>301</v>
      </c>
      <c r="E926" s="17" t="s">
        <v>303</v>
      </c>
      <c r="F926" s="17"/>
      <c r="G926" s="14">
        <f>SUM(G927)</f>
        <v>146.19999999999999</v>
      </c>
      <c r="H926" s="14">
        <f t="shared" ref="H926:I926" si="538">SUM(H927)</f>
        <v>0</v>
      </c>
      <c r="I926" s="14">
        <f t="shared" si="538"/>
        <v>0</v>
      </c>
    </row>
    <row r="927" spans="1:9" ht="78" customHeight="1" x14ac:dyDescent="0.25">
      <c r="A927" s="18">
        <f t="shared" si="532"/>
        <v>915</v>
      </c>
      <c r="B927" s="16" t="s">
        <v>670</v>
      </c>
      <c r="C927" s="17" t="s">
        <v>661</v>
      </c>
      <c r="D927" s="17" t="s">
        <v>301</v>
      </c>
      <c r="E927" s="17" t="s">
        <v>671</v>
      </c>
      <c r="F927" s="17"/>
      <c r="G927" s="14">
        <f>SUM(G928)</f>
        <v>146.19999999999999</v>
      </c>
      <c r="H927" s="14">
        <f t="shared" ref="H927:I927" si="539">SUM(H928)</f>
        <v>0</v>
      </c>
      <c r="I927" s="14">
        <f t="shared" si="539"/>
        <v>0</v>
      </c>
    </row>
    <row r="928" spans="1:9" ht="36" x14ac:dyDescent="0.25">
      <c r="A928" s="18">
        <f t="shared" si="532"/>
        <v>916</v>
      </c>
      <c r="B928" s="16" t="s">
        <v>157</v>
      </c>
      <c r="C928" s="17" t="s">
        <v>661</v>
      </c>
      <c r="D928" s="17" t="s">
        <v>301</v>
      </c>
      <c r="E928" s="17" t="s">
        <v>671</v>
      </c>
      <c r="F928" s="17" t="s">
        <v>158</v>
      </c>
      <c r="G928" s="14">
        <v>146.19999999999999</v>
      </c>
      <c r="H928" s="14">
        <v>0</v>
      </c>
      <c r="I928" s="14">
        <v>0</v>
      </c>
    </row>
    <row r="929" spans="1:9" ht="18" x14ac:dyDescent="0.25">
      <c r="A929" s="19">
        <f t="shared" si="532"/>
        <v>917</v>
      </c>
      <c r="B929" s="20" t="s">
        <v>428</v>
      </c>
      <c r="C929" s="21" t="s">
        <v>661</v>
      </c>
      <c r="D929" s="21" t="s">
        <v>429</v>
      </c>
      <c r="E929" s="21"/>
      <c r="F929" s="21"/>
      <c r="G929" s="13">
        <f>SUM(G930)</f>
        <v>69251.089999999982</v>
      </c>
      <c r="H929" s="13">
        <f t="shared" ref="H929:I929" si="540">SUM(H930)</f>
        <v>71877.670000000013</v>
      </c>
      <c r="I929" s="13">
        <f t="shared" si="540"/>
        <v>74871.8</v>
      </c>
    </row>
    <row r="930" spans="1:9" ht="36" x14ac:dyDescent="0.25">
      <c r="A930" s="19">
        <f t="shared" si="532"/>
        <v>918</v>
      </c>
      <c r="B930" s="20" t="s">
        <v>638</v>
      </c>
      <c r="C930" s="21" t="s">
        <v>661</v>
      </c>
      <c r="D930" s="21" t="s">
        <v>639</v>
      </c>
      <c r="E930" s="21"/>
      <c r="F930" s="21"/>
      <c r="G930" s="13">
        <f>SUM(G931+G941)</f>
        <v>69251.089999999982</v>
      </c>
      <c r="H930" s="13">
        <f t="shared" ref="H930:I930" si="541">SUM(H931+H941)</f>
        <v>71877.670000000013</v>
      </c>
      <c r="I930" s="13">
        <f t="shared" si="541"/>
        <v>74871.8</v>
      </c>
    </row>
    <row r="931" spans="1:9" ht="72" x14ac:dyDescent="0.25">
      <c r="A931" s="18">
        <f t="shared" si="532"/>
        <v>919</v>
      </c>
      <c r="B931" s="16" t="s">
        <v>662</v>
      </c>
      <c r="C931" s="17" t="s">
        <v>661</v>
      </c>
      <c r="D931" s="17" t="s">
        <v>639</v>
      </c>
      <c r="E931" s="17" t="s">
        <v>663</v>
      </c>
      <c r="F931" s="17"/>
      <c r="G931" s="14">
        <f>SUM(G932)</f>
        <v>68950.949999999983</v>
      </c>
      <c r="H931" s="14">
        <f t="shared" ref="H931:I931" si="542">SUM(H932)</f>
        <v>71877.670000000013</v>
      </c>
      <c r="I931" s="14">
        <f t="shared" si="542"/>
        <v>74871.8</v>
      </c>
    </row>
    <row r="932" spans="1:9" ht="54" x14ac:dyDescent="0.25">
      <c r="A932" s="18">
        <f t="shared" si="532"/>
        <v>920</v>
      </c>
      <c r="B932" s="16" t="s">
        <v>672</v>
      </c>
      <c r="C932" s="17" t="s">
        <v>661</v>
      </c>
      <c r="D932" s="17" t="s">
        <v>639</v>
      </c>
      <c r="E932" s="17" t="s">
        <v>673</v>
      </c>
      <c r="F932" s="17"/>
      <c r="G932" s="14">
        <f>SUM(G933+G935+G937+G939)</f>
        <v>68950.949999999983</v>
      </c>
      <c r="H932" s="14">
        <f t="shared" ref="H932:I932" si="543">SUM(H933+H935+H937+H939)</f>
        <v>71877.670000000013</v>
      </c>
      <c r="I932" s="14">
        <f t="shared" si="543"/>
        <v>74871.8</v>
      </c>
    </row>
    <row r="933" spans="1:9" ht="222" customHeight="1" x14ac:dyDescent="0.25">
      <c r="A933" s="18">
        <f t="shared" si="532"/>
        <v>921</v>
      </c>
      <c r="B933" s="16" t="s">
        <v>674</v>
      </c>
      <c r="C933" s="17" t="s">
        <v>661</v>
      </c>
      <c r="D933" s="17" t="s">
        <v>639</v>
      </c>
      <c r="E933" s="17" t="s">
        <v>675</v>
      </c>
      <c r="F933" s="17"/>
      <c r="G933" s="14">
        <f>SUM(G934)</f>
        <v>2349.9</v>
      </c>
      <c r="H933" s="14">
        <f t="shared" ref="H933:I933" si="544">SUM(H934)</f>
        <v>0</v>
      </c>
      <c r="I933" s="14">
        <f t="shared" si="544"/>
        <v>0</v>
      </c>
    </row>
    <row r="934" spans="1:9" ht="36" x14ac:dyDescent="0.25">
      <c r="A934" s="18">
        <f t="shared" si="532"/>
        <v>922</v>
      </c>
      <c r="B934" s="16" t="s">
        <v>157</v>
      </c>
      <c r="C934" s="17" t="s">
        <v>661</v>
      </c>
      <c r="D934" s="17" t="s">
        <v>639</v>
      </c>
      <c r="E934" s="17" t="s">
        <v>675</v>
      </c>
      <c r="F934" s="17" t="s">
        <v>158</v>
      </c>
      <c r="G934" s="14">
        <v>2349.9</v>
      </c>
      <c r="H934" s="14">
        <v>0</v>
      </c>
      <c r="I934" s="14">
        <v>0</v>
      </c>
    </row>
    <row r="935" spans="1:9" ht="72" x14ac:dyDescent="0.25">
      <c r="A935" s="18">
        <f t="shared" si="532"/>
        <v>923</v>
      </c>
      <c r="B935" s="16" t="s">
        <v>676</v>
      </c>
      <c r="C935" s="17" t="s">
        <v>661</v>
      </c>
      <c r="D935" s="17" t="s">
        <v>639</v>
      </c>
      <c r="E935" s="17" t="s">
        <v>677</v>
      </c>
      <c r="F935" s="17"/>
      <c r="G935" s="14">
        <f>SUM(G936)</f>
        <v>66426.149999999994</v>
      </c>
      <c r="H935" s="14">
        <f t="shared" ref="H935:I935" si="545">SUM(H936)</f>
        <v>71427.350000000006</v>
      </c>
      <c r="I935" s="14">
        <f t="shared" si="545"/>
        <v>74429.600000000006</v>
      </c>
    </row>
    <row r="936" spans="1:9" ht="36" x14ac:dyDescent="0.25">
      <c r="A936" s="18">
        <f t="shared" si="532"/>
        <v>924</v>
      </c>
      <c r="B936" s="16" t="s">
        <v>157</v>
      </c>
      <c r="C936" s="17" t="s">
        <v>661</v>
      </c>
      <c r="D936" s="17" t="s">
        <v>639</v>
      </c>
      <c r="E936" s="17" t="s">
        <v>677</v>
      </c>
      <c r="F936" s="17" t="s">
        <v>158</v>
      </c>
      <c r="G936" s="14">
        <v>66426.149999999994</v>
      </c>
      <c r="H936" s="14">
        <v>71427.350000000006</v>
      </c>
      <c r="I936" s="14">
        <v>74429.600000000006</v>
      </c>
    </row>
    <row r="937" spans="1:9" ht="148.5" customHeight="1" x14ac:dyDescent="0.25">
      <c r="A937" s="18">
        <f t="shared" si="532"/>
        <v>925</v>
      </c>
      <c r="B937" s="16" t="s">
        <v>678</v>
      </c>
      <c r="C937" s="17" t="s">
        <v>661</v>
      </c>
      <c r="D937" s="17" t="s">
        <v>639</v>
      </c>
      <c r="E937" s="17" t="s">
        <v>679</v>
      </c>
      <c r="F937" s="17"/>
      <c r="G937" s="14">
        <f>SUM(G938)</f>
        <v>0</v>
      </c>
      <c r="H937" s="14">
        <f t="shared" ref="H937:I937" si="546">SUM(H938)</f>
        <v>450.32</v>
      </c>
      <c r="I937" s="14">
        <f t="shared" si="546"/>
        <v>442.2</v>
      </c>
    </row>
    <row r="938" spans="1:9" ht="36" x14ac:dyDescent="0.25">
      <c r="A938" s="18">
        <f t="shared" si="532"/>
        <v>926</v>
      </c>
      <c r="B938" s="16" t="s">
        <v>157</v>
      </c>
      <c r="C938" s="17" t="s">
        <v>661</v>
      </c>
      <c r="D938" s="17" t="s">
        <v>639</v>
      </c>
      <c r="E938" s="17" t="s">
        <v>679</v>
      </c>
      <c r="F938" s="17" t="s">
        <v>158</v>
      </c>
      <c r="G938" s="14">
        <v>0</v>
      </c>
      <c r="H938" s="14">
        <v>450.32</v>
      </c>
      <c r="I938" s="14">
        <v>442.2</v>
      </c>
    </row>
    <row r="939" spans="1:9" ht="165" customHeight="1" x14ac:dyDescent="0.25">
      <c r="A939" s="18">
        <f t="shared" si="532"/>
        <v>927</v>
      </c>
      <c r="B939" s="16" t="s">
        <v>680</v>
      </c>
      <c r="C939" s="17" t="s">
        <v>661</v>
      </c>
      <c r="D939" s="17" t="s">
        <v>639</v>
      </c>
      <c r="E939" s="17" t="s">
        <v>681</v>
      </c>
      <c r="F939" s="17"/>
      <c r="G939" s="14">
        <f>SUM(G940)</f>
        <v>174.9</v>
      </c>
      <c r="H939" s="14">
        <f t="shared" ref="H939:I939" si="547">SUM(H940)</f>
        <v>0</v>
      </c>
      <c r="I939" s="14">
        <f t="shared" si="547"/>
        <v>0</v>
      </c>
    </row>
    <row r="940" spans="1:9" ht="36" x14ac:dyDescent="0.25">
      <c r="A940" s="18">
        <f t="shared" si="532"/>
        <v>928</v>
      </c>
      <c r="B940" s="16" t="s">
        <v>157</v>
      </c>
      <c r="C940" s="17" t="s">
        <v>661</v>
      </c>
      <c r="D940" s="17" t="s">
        <v>639</v>
      </c>
      <c r="E940" s="17" t="s">
        <v>681</v>
      </c>
      <c r="F940" s="17" t="s">
        <v>158</v>
      </c>
      <c r="G940" s="14">
        <v>174.9</v>
      </c>
      <c r="H940" s="14">
        <v>0</v>
      </c>
      <c r="I940" s="14">
        <v>0</v>
      </c>
    </row>
    <row r="941" spans="1:9" ht="18" x14ac:dyDescent="0.25">
      <c r="A941" s="18">
        <f t="shared" si="532"/>
        <v>929</v>
      </c>
      <c r="B941" s="16" t="s">
        <v>892</v>
      </c>
      <c r="C941" s="17" t="s">
        <v>661</v>
      </c>
      <c r="D941" s="17" t="s">
        <v>639</v>
      </c>
      <c r="E941" s="17">
        <v>7000000000</v>
      </c>
      <c r="F941" s="17"/>
      <c r="G941" s="14">
        <f>SUM(G942)</f>
        <v>300.14</v>
      </c>
      <c r="H941" s="14">
        <f t="shared" ref="H941:I941" si="548">SUM(H942)</f>
        <v>0</v>
      </c>
      <c r="I941" s="14">
        <f t="shared" si="548"/>
        <v>0</v>
      </c>
    </row>
    <row r="942" spans="1:9" ht="144" x14ac:dyDescent="0.25">
      <c r="A942" s="18">
        <f t="shared" si="532"/>
        <v>930</v>
      </c>
      <c r="B942" s="16" t="s">
        <v>890</v>
      </c>
      <c r="C942" s="17" t="s">
        <v>661</v>
      </c>
      <c r="D942" s="17" t="s">
        <v>639</v>
      </c>
      <c r="E942" s="27" t="s">
        <v>882</v>
      </c>
      <c r="F942" s="17"/>
      <c r="G942" s="14">
        <f>SUM(G943)</f>
        <v>300.14</v>
      </c>
      <c r="H942" s="14">
        <f t="shared" ref="H942:I942" si="549">SUM(H943)</f>
        <v>0</v>
      </c>
      <c r="I942" s="14">
        <f t="shared" si="549"/>
        <v>0</v>
      </c>
    </row>
    <row r="943" spans="1:9" ht="36" x14ac:dyDescent="0.25">
      <c r="A943" s="18">
        <f t="shared" si="532"/>
        <v>931</v>
      </c>
      <c r="B943" s="16" t="s">
        <v>157</v>
      </c>
      <c r="C943" s="17" t="s">
        <v>661</v>
      </c>
      <c r="D943" s="17" t="s">
        <v>639</v>
      </c>
      <c r="E943" s="27" t="s">
        <v>882</v>
      </c>
      <c r="F943" s="17">
        <v>610</v>
      </c>
      <c r="G943" s="14">
        <v>300.14</v>
      </c>
      <c r="H943" s="14">
        <v>0</v>
      </c>
      <c r="I943" s="14">
        <v>0</v>
      </c>
    </row>
    <row r="944" spans="1:9" ht="24.75" customHeight="1" x14ac:dyDescent="0.25">
      <c r="A944" s="19">
        <f t="shared" si="532"/>
        <v>932</v>
      </c>
      <c r="B944" s="20" t="s">
        <v>467</v>
      </c>
      <c r="C944" s="21" t="s">
        <v>661</v>
      </c>
      <c r="D944" s="21" t="s">
        <v>468</v>
      </c>
      <c r="E944" s="21"/>
      <c r="F944" s="21"/>
      <c r="G944" s="13">
        <f>SUM(G945+G985)</f>
        <v>151037.01999999999</v>
      </c>
      <c r="H944" s="13">
        <f t="shared" ref="H944:I944" si="550">SUM(H945+H985)</f>
        <v>147976.47</v>
      </c>
      <c r="I944" s="13">
        <f t="shared" si="550"/>
        <v>149121.57</v>
      </c>
    </row>
    <row r="945" spans="1:9" ht="18" x14ac:dyDescent="0.25">
      <c r="A945" s="19">
        <f t="shared" si="532"/>
        <v>933</v>
      </c>
      <c r="B945" s="20" t="s">
        <v>469</v>
      </c>
      <c r="C945" s="21" t="s">
        <v>661</v>
      </c>
      <c r="D945" s="21" t="s">
        <v>470</v>
      </c>
      <c r="E945" s="21"/>
      <c r="F945" s="21"/>
      <c r="G945" s="13">
        <f>SUM(G946+G978+G982)</f>
        <v>116000.26999999999</v>
      </c>
      <c r="H945" s="13">
        <f t="shared" ref="H945:I945" si="551">SUM(H946+H978+H982)</f>
        <v>112602.17</v>
      </c>
      <c r="I945" s="13">
        <f t="shared" si="551"/>
        <v>112380.37</v>
      </c>
    </row>
    <row r="946" spans="1:9" ht="72" x14ac:dyDescent="0.25">
      <c r="A946" s="18">
        <f t="shared" si="532"/>
        <v>934</v>
      </c>
      <c r="B946" s="16" t="s">
        <v>662</v>
      </c>
      <c r="C946" s="17" t="s">
        <v>661</v>
      </c>
      <c r="D946" s="17" t="s">
        <v>470</v>
      </c>
      <c r="E946" s="17" t="s">
        <v>663</v>
      </c>
      <c r="F946" s="17"/>
      <c r="G946" s="14">
        <f>SUM(G947)</f>
        <v>115843.34</v>
      </c>
      <c r="H946" s="14">
        <f t="shared" ref="H946:I946" si="552">SUM(H947)</f>
        <v>112445.24</v>
      </c>
      <c r="I946" s="14">
        <f t="shared" si="552"/>
        <v>112223.44</v>
      </c>
    </row>
    <row r="947" spans="1:9" ht="54" x14ac:dyDescent="0.25">
      <c r="A947" s="18">
        <f t="shared" si="532"/>
        <v>935</v>
      </c>
      <c r="B947" s="16" t="s">
        <v>682</v>
      </c>
      <c r="C947" s="17" t="s">
        <v>661</v>
      </c>
      <c r="D947" s="17" t="s">
        <v>470</v>
      </c>
      <c r="E947" s="17" t="s">
        <v>683</v>
      </c>
      <c r="F947" s="17"/>
      <c r="G947" s="14">
        <f>SUM(G948+G950+G952+G954+G956+G959+G962+G964+G966+G970+G972+G976+G968+G974)</f>
        <v>115843.34</v>
      </c>
      <c r="H947" s="14">
        <f t="shared" ref="H947:I947" si="553">SUM(H948+H950+H952+H954+H956+H959+H962+H964+H966+H970+H972+H976+H968+H974)</f>
        <v>112445.24</v>
      </c>
      <c r="I947" s="14">
        <f t="shared" si="553"/>
        <v>112223.44</v>
      </c>
    </row>
    <row r="948" spans="1:9" ht="78.75" customHeight="1" x14ac:dyDescent="0.25">
      <c r="A948" s="18">
        <f t="shared" si="532"/>
        <v>936</v>
      </c>
      <c r="B948" s="16" t="s">
        <v>684</v>
      </c>
      <c r="C948" s="17" t="s">
        <v>661</v>
      </c>
      <c r="D948" s="17" t="s">
        <v>470</v>
      </c>
      <c r="E948" s="17" t="s">
        <v>685</v>
      </c>
      <c r="F948" s="17"/>
      <c r="G948" s="14">
        <f>SUM(G949)</f>
        <v>24484.7</v>
      </c>
      <c r="H948" s="14">
        <f t="shared" ref="H948:I948" si="554">SUM(H949)</f>
        <v>26148</v>
      </c>
      <c r="I948" s="14">
        <f t="shared" si="554"/>
        <v>27812</v>
      </c>
    </row>
    <row r="949" spans="1:9" ht="36" x14ac:dyDescent="0.25">
      <c r="A949" s="18">
        <f t="shared" si="532"/>
        <v>937</v>
      </c>
      <c r="B949" s="16" t="s">
        <v>157</v>
      </c>
      <c r="C949" s="17" t="s">
        <v>661</v>
      </c>
      <c r="D949" s="17" t="s">
        <v>470</v>
      </c>
      <c r="E949" s="17" t="s">
        <v>685</v>
      </c>
      <c r="F949" s="17" t="s">
        <v>158</v>
      </c>
      <c r="G949" s="14">
        <v>24484.7</v>
      </c>
      <c r="H949" s="14">
        <v>26148</v>
      </c>
      <c r="I949" s="14">
        <v>27812</v>
      </c>
    </row>
    <row r="950" spans="1:9" ht="57.75" customHeight="1" x14ac:dyDescent="0.25">
      <c r="A950" s="18">
        <f t="shared" si="532"/>
        <v>938</v>
      </c>
      <c r="B950" s="16" t="s">
        <v>686</v>
      </c>
      <c r="C950" s="17" t="s">
        <v>661</v>
      </c>
      <c r="D950" s="17" t="s">
        <v>470</v>
      </c>
      <c r="E950" s="17" t="s">
        <v>687</v>
      </c>
      <c r="F950" s="17"/>
      <c r="G950" s="14">
        <f>SUM(G951)</f>
        <v>71509.600000000006</v>
      </c>
      <c r="H950" s="14">
        <f t="shared" ref="H950:I950" si="555">SUM(H951)</f>
        <v>76376</v>
      </c>
      <c r="I950" s="14">
        <f t="shared" si="555"/>
        <v>81136.399999999994</v>
      </c>
    </row>
    <row r="951" spans="1:9" ht="36" x14ac:dyDescent="0.25">
      <c r="A951" s="18">
        <f t="shared" si="532"/>
        <v>939</v>
      </c>
      <c r="B951" s="16" t="s">
        <v>157</v>
      </c>
      <c r="C951" s="17" t="s">
        <v>661</v>
      </c>
      <c r="D951" s="17" t="s">
        <v>470</v>
      </c>
      <c r="E951" s="17" t="s">
        <v>687</v>
      </c>
      <c r="F951" s="17" t="s">
        <v>158</v>
      </c>
      <c r="G951" s="14">
        <v>71509.600000000006</v>
      </c>
      <c r="H951" s="14">
        <v>76376</v>
      </c>
      <c r="I951" s="14">
        <v>81136.399999999994</v>
      </c>
    </row>
    <row r="952" spans="1:9" ht="72" x14ac:dyDescent="0.25">
      <c r="A952" s="18">
        <f t="shared" si="532"/>
        <v>940</v>
      </c>
      <c r="B952" s="16" t="s">
        <v>688</v>
      </c>
      <c r="C952" s="17" t="s">
        <v>661</v>
      </c>
      <c r="D952" s="17" t="s">
        <v>470</v>
      </c>
      <c r="E952" s="17" t="s">
        <v>689</v>
      </c>
      <c r="F952" s="17"/>
      <c r="G952" s="14">
        <f>SUM(G953)</f>
        <v>54.1</v>
      </c>
      <c r="H952" s="14">
        <f t="shared" ref="H952:I952" si="556">SUM(H953)</f>
        <v>54.1</v>
      </c>
      <c r="I952" s="14">
        <f t="shared" si="556"/>
        <v>54.1</v>
      </c>
    </row>
    <row r="953" spans="1:9" ht="36" x14ac:dyDescent="0.25">
      <c r="A953" s="18">
        <f t="shared" si="532"/>
        <v>941</v>
      </c>
      <c r="B953" s="16" t="s">
        <v>157</v>
      </c>
      <c r="C953" s="17" t="s">
        <v>661</v>
      </c>
      <c r="D953" s="17" t="s">
        <v>470</v>
      </c>
      <c r="E953" s="17" t="s">
        <v>689</v>
      </c>
      <c r="F953" s="17" t="s">
        <v>158</v>
      </c>
      <c r="G953" s="14">
        <v>54.1</v>
      </c>
      <c r="H953" s="14">
        <v>54.1</v>
      </c>
      <c r="I953" s="14">
        <v>54.1</v>
      </c>
    </row>
    <row r="954" spans="1:9" ht="39" customHeight="1" x14ac:dyDescent="0.25">
      <c r="A954" s="18">
        <f t="shared" si="532"/>
        <v>942</v>
      </c>
      <c r="B954" s="16" t="s">
        <v>690</v>
      </c>
      <c r="C954" s="17" t="s">
        <v>661</v>
      </c>
      <c r="D954" s="17" t="s">
        <v>470</v>
      </c>
      <c r="E954" s="17" t="s">
        <v>691</v>
      </c>
      <c r="F954" s="17"/>
      <c r="G954" s="14">
        <f>SUM(G955)</f>
        <v>1331</v>
      </c>
      <c r="H954" s="14">
        <f t="shared" ref="H954:I954" si="557">SUM(H955)</f>
        <v>151.6</v>
      </c>
      <c r="I954" s="14">
        <f t="shared" si="557"/>
        <v>151.6</v>
      </c>
    </row>
    <row r="955" spans="1:9" ht="60" customHeight="1" x14ac:dyDescent="0.25">
      <c r="A955" s="18">
        <f t="shared" si="532"/>
        <v>943</v>
      </c>
      <c r="B955" s="16" t="s">
        <v>33</v>
      </c>
      <c r="C955" s="17" t="s">
        <v>661</v>
      </c>
      <c r="D955" s="17" t="s">
        <v>470</v>
      </c>
      <c r="E955" s="17" t="s">
        <v>691</v>
      </c>
      <c r="F955" s="17" t="s">
        <v>34</v>
      </c>
      <c r="G955" s="14">
        <v>1331</v>
      </c>
      <c r="H955" s="14">
        <v>151.6</v>
      </c>
      <c r="I955" s="14">
        <v>151.6</v>
      </c>
    </row>
    <row r="956" spans="1:9" ht="36" x14ac:dyDescent="0.25">
      <c r="A956" s="18">
        <f t="shared" si="532"/>
        <v>944</v>
      </c>
      <c r="B956" s="16" t="s">
        <v>692</v>
      </c>
      <c r="C956" s="17" t="s">
        <v>661</v>
      </c>
      <c r="D956" s="17" t="s">
        <v>470</v>
      </c>
      <c r="E956" s="17" t="s">
        <v>693</v>
      </c>
      <c r="F956" s="17"/>
      <c r="G956" s="14">
        <f>SUM(G957:G958)</f>
        <v>1948.7399999999998</v>
      </c>
      <c r="H956" s="14">
        <f t="shared" ref="H956:I956" si="558">SUM(H957:H958)</f>
        <v>1948.74</v>
      </c>
      <c r="I956" s="14">
        <f t="shared" si="558"/>
        <v>1948.74</v>
      </c>
    </row>
    <row r="957" spans="1:9" ht="57" customHeight="1" x14ac:dyDescent="0.25">
      <c r="A957" s="18">
        <f t="shared" si="532"/>
        <v>945</v>
      </c>
      <c r="B957" s="16" t="s">
        <v>33</v>
      </c>
      <c r="C957" s="17" t="s">
        <v>661</v>
      </c>
      <c r="D957" s="17" t="s">
        <v>470</v>
      </c>
      <c r="E957" s="17" t="s">
        <v>693</v>
      </c>
      <c r="F957" s="17" t="s">
        <v>34</v>
      </c>
      <c r="G957" s="14">
        <f>974.37-684</f>
        <v>290.37</v>
      </c>
      <c r="H957" s="14">
        <v>974.37</v>
      </c>
      <c r="I957" s="14">
        <v>974.37</v>
      </c>
    </row>
    <row r="958" spans="1:9" ht="36" x14ac:dyDescent="0.25">
      <c r="A958" s="18">
        <f t="shared" si="532"/>
        <v>946</v>
      </c>
      <c r="B958" s="16" t="s">
        <v>157</v>
      </c>
      <c r="C958" s="17" t="s">
        <v>661</v>
      </c>
      <c r="D958" s="17" t="s">
        <v>470</v>
      </c>
      <c r="E958" s="17" t="s">
        <v>693</v>
      </c>
      <c r="F958" s="17" t="s">
        <v>158</v>
      </c>
      <c r="G958" s="14">
        <f>974.37+684</f>
        <v>1658.37</v>
      </c>
      <c r="H958" s="14">
        <v>974.37</v>
      </c>
      <c r="I958" s="14">
        <v>974.37</v>
      </c>
    </row>
    <row r="959" spans="1:9" ht="36" x14ac:dyDescent="0.25">
      <c r="A959" s="18">
        <f t="shared" si="532"/>
        <v>947</v>
      </c>
      <c r="B959" s="16" t="s">
        <v>694</v>
      </c>
      <c r="C959" s="17" t="s">
        <v>661</v>
      </c>
      <c r="D959" s="17" t="s">
        <v>470</v>
      </c>
      <c r="E959" s="17" t="s">
        <v>695</v>
      </c>
      <c r="F959" s="17"/>
      <c r="G959" s="14">
        <f>SUM(G960:G961)</f>
        <v>247</v>
      </c>
      <c r="H959" s="14">
        <f t="shared" ref="H959:I959" si="559">SUM(H960:H961)</f>
        <v>247</v>
      </c>
      <c r="I959" s="14">
        <f t="shared" si="559"/>
        <v>247</v>
      </c>
    </row>
    <row r="960" spans="1:9" ht="18" x14ac:dyDescent="0.25">
      <c r="A960" s="18">
        <f t="shared" si="532"/>
        <v>948</v>
      </c>
      <c r="B960" s="16" t="s">
        <v>177</v>
      </c>
      <c r="C960" s="17" t="s">
        <v>661</v>
      </c>
      <c r="D960" s="17" t="s">
        <v>470</v>
      </c>
      <c r="E960" s="17" t="s">
        <v>695</v>
      </c>
      <c r="F960" s="17" t="s">
        <v>178</v>
      </c>
      <c r="G960" s="14">
        <v>75</v>
      </c>
      <c r="H960" s="14">
        <v>75</v>
      </c>
      <c r="I960" s="14">
        <v>75</v>
      </c>
    </row>
    <row r="961" spans="1:9" ht="36" x14ac:dyDescent="0.25">
      <c r="A961" s="18">
        <f t="shared" si="532"/>
        <v>949</v>
      </c>
      <c r="B961" s="16" t="s">
        <v>157</v>
      </c>
      <c r="C961" s="17" t="s">
        <v>661</v>
      </c>
      <c r="D961" s="17" t="s">
        <v>470</v>
      </c>
      <c r="E961" s="17" t="s">
        <v>695</v>
      </c>
      <c r="F961" s="17" t="s">
        <v>158</v>
      </c>
      <c r="G961" s="14">
        <v>172</v>
      </c>
      <c r="H961" s="14">
        <v>172</v>
      </c>
      <c r="I961" s="14">
        <v>172</v>
      </c>
    </row>
    <row r="962" spans="1:9" ht="54" x14ac:dyDescent="0.25">
      <c r="A962" s="18">
        <f t="shared" si="532"/>
        <v>950</v>
      </c>
      <c r="B962" s="16" t="s">
        <v>696</v>
      </c>
      <c r="C962" s="17" t="s">
        <v>661</v>
      </c>
      <c r="D962" s="17" t="s">
        <v>470</v>
      </c>
      <c r="E962" s="17" t="s">
        <v>697</v>
      </c>
      <c r="F962" s="17"/>
      <c r="G962" s="14">
        <f>SUM(G963)</f>
        <v>539.20000000000005</v>
      </c>
      <c r="H962" s="14">
        <f t="shared" ref="H962:I962" si="560">SUM(H963)</f>
        <v>539.20000000000005</v>
      </c>
      <c r="I962" s="14">
        <f t="shared" si="560"/>
        <v>539.20000000000005</v>
      </c>
    </row>
    <row r="963" spans="1:9" ht="55.5" customHeight="1" x14ac:dyDescent="0.25">
      <c r="A963" s="18">
        <f t="shared" si="532"/>
        <v>951</v>
      </c>
      <c r="B963" s="16" t="s">
        <v>33</v>
      </c>
      <c r="C963" s="17" t="s">
        <v>661</v>
      </c>
      <c r="D963" s="17" t="s">
        <v>470</v>
      </c>
      <c r="E963" s="17" t="s">
        <v>697</v>
      </c>
      <c r="F963" s="17" t="s">
        <v>34</v>
      </c>
      <c r="G963" s="14">
        <v>539.20000000000005</v>
      </c>
      <c r="H963" s="14">
        <v>539.20000000000005</v>
      </c>
      <c r="I963" s="14">
        <v>539.20000000000005</v>
      </c>
    </row>
    <row r="964" spans="1:9" ht="72" x14ac:dyDescent="0.25">
      <c r="A964" s="18">
        <f t="shared" si="532"/>
        <v>952</v>
      </c>
      <c r="B964" s="16" t="s">
        <v>698</v>
      </c>
      <c r="C964" s="17" t="s">
        <v>661</v>
      </c>
      <c r="D964" s="17" t="s">
        <v>470</v>
      </c>
      <c r="E964" s="17" t="s">
        <v>699</v>
      </c>
      <c r="F964" s="17"/>
      <c r="G964" s="14">
        <f>SUM(G965)</f>
        <v>52</v>
      </c>
      <c r="H964" s="14">
        <f t="shared" ref="H964:I964" si="561">SUM(H965)</f>
        <v>52</v>
      </c>
      <c r="I964" s="14">
        <f t="shared" si="561"/>
        <v>52</v>
      </c>
    </row>
    <row r="965" spans="1:9" ht="36" x14ac:dyDescent="0.25">
      <c r="A965" s="18">
        <f t="shared" si="532"/>
        <v>953</v>
      </c>
      <c r="B965" s="16" t="s">
        <v>157</v>
      </c>
      <c r="C965" s="17" t="s">
        <v>661</v>
      </c>
      <c r="D965" s="17" t="s">
        <v>470</v>
      </c>
      <c r="E965" s="17" t="s">
        <v>699</v>
      </c>
      <c r="F965" s="17" t="s">
        <v>158</v>
      </c>
      <c r="G965" s="14">
        <v>52</v>
      </c>
      <c r="H965" s="14">
        <v>52</v>
      </c>
      <c r="I965" s="14">
        <v>52</v>
      </c>
    </row>
    <row r="966" spans="1:9" ht="148.5" customHeight="1" x14ac:dyDescent="0.25">
      <c r="A966" s="18">
        <f t="shared" si="532"/>
        <v>954</v>
      </c>
      <c r="B966" s="16" t="s">
        <v>700</v>
      </c>
      <c r="C966" s="17" t="s">
        <v>661</v>
      </c>
      <c r="D966" s="17" t="s">
        <v>470</v>
      </c>
      <c r="E966" s="17" t="s">
        <v>701</v>
      </c>
      <c r="F966" s="17"/>
      <c r="G966" s="14">
        <f>SUM(G967)</f>
        <v>610.54</v>
      </c>
      <c r="H966" s="14">
        <f t="shared" ref="H966:I966" si="562">SUM(H967)</f>
        <v>900</v>
      </c>
      <c r="I966" s="14">
        <f t="shared" si="562"/>
        <v>0</v>
      </c>
    </row>
    <row r="967" spans="1:9" ht="36" x14ac:dyDescent="0.25">
      <c r="A967" s="18">
        <f t="shared" si="532"/>
        <v>955</v>
      </c>
      <c r="B967" s="16" t="s">
        <v>157</v>
      </c>
      <c r="C967" s="17" t="s">
        <v>661</v>
      </c>
      <c r="D967" s="17" t="s">
        <v>470</v>
      </c>
      <c r="E967" s="17" t="s">
        <v>701</v>
      </c>
      <c r="F967" s="17" t="s">
        <v>158</v>
      </c>
      <c r="G967" s="14">
        <f>3001-2390.46</f>
        <v>610.54</v>
      </c>
      <c r="H967" s="14">
        <f>1300-400</f>
        <v>900</v>
      </c>
      <c r="I967" s="14">
        <v>0</v>
      </c>
    </row>
    <row r="968" spans="1:9" ht="54" x14ac:dyDescent="0.25">
      <c r="A968" s="18">
        <f t="shared" si="532"/>
        <v>956</v>
      </c>
      <c r="B968" s="16" t="s">
        <v>853</v>
      </c>
      <c r="C968" s="17" t="s">
        <v>661</v>
      </c>
      <c r="D968" s="17" t="s">
        <v>470</v>
      </c>
      <c r="E968" s="27" t="s">
        <v>852</v>
      </c>
      <c r="F968" s="17"/>
      <c r="G968" s="14">
        <f>SUM(G969)</f>
        <v>2390.46</v>
      </c>
      <c r="H968" s="14">
        <f t="shared" ref="H968:I968" si="563">SUM(H969)</f>
        <v>400</v>
      </c>
      <c r="I968" s="14">
        <f t="shared" si="563"/>
        <v>0</v>
      </c>
    </row>
    <row r="969" spans="1:9" ht="36" x14ac:dyDescent="0.25">
      <c r="A969" s="18">
        <f t="shared" si="532"/>
        <v>957</v>
      </c>
      <c r="B969" s="16" t="s">
        <v>157</v>
      </c>
      <c r="C969" s="17" t="s">
        <v>661</v>
      </c>
      <c r="D969" s="17" t="s">
        <v>470</v>
      </c>
      <c r="E969" s="27" t="s">
        <v>852</v>
      </c>
      <c r="F969" s="17">
        <v>610</v>
      </c>
      <c r="G969" s="14">
        <v>2390.46</v>
      </c>
      <c r="H969" s="14">
        <v>400</v>
      </c>
      <c r="I969" s="14"/>
    </row>
    <row r="970" spans="1:9" ht="201.75" customHeight="1" x14ac:dyDescent="0.25">
      <c r="A970" s="18">
        <f t="shared" si="532"/>
        <v>958</v>
      </c>
      <c r="B970" s="16" t="s">
        <v>702</v>
      </c>
      <c r="C970" s="17" t="s">
        <v>661</v>
      </c>
      <c r="D970" s="17" t="s">
        <v>470</v>
      </c>
      <c r="E970" s="17" t="s">
        <v>703</v>
      </c>
      <c r="F970" s="17"/>
      <c r="G970" s="14">
        <f>SUM(G971)</f>
        <v>162.4</v>
      </c>
      <c r="H970" s="14">
        <f t="shared" ref="H970:I970" si="564">SUM(H971)</f>
        <v>282.39999999999998</v>
      </c>
      <c r="I970" s="14">
        <f t="shared" si="564"/>
        <v>282.39999999999998</v>
      </c>
    </row>
    <row r="971" spans="1:9" ht="36" x14ac:dyDescent="0.25">
      <c r="A971" s="18">
        <f t="shared" si="532"/>
        <v>959</v>
      </c>
      <c r="B971" s="16" t="s">
        <v>157</v>
      </c>
      <c r="C971" s="17" t="s">
        <v>661</v>
      </c>
      <c r="D971" s="17" t="s">
        <v>470</v>
      </c>
      <c r="E971" s="17" t="s">
        <v>703</v>
      </c>
      <c r="F971" s="17" t="s">
        <v>158</v>
      </c>
      <c r="G971" s="14">
        <v>162.4</v>
      </c>
      <c r="H971" s="14">
        <v>282.39999999999998</v>
      </c>
      <c r="I971" s="14">
        <v>282.39999999999998</v>
      </c>
    </row>
    <row r="972" spans="1:9" ht="146.25" customHeight="1" x14ac:dyDescent="0.25">
      <c r="A972" s="18">
        <f t="shared" si="532"/>
        <v>960</v>
      </c>
      <c r="B972" s="16" t="s">
        <v>704</v>
      </c>
      <c r="C972" s="17" t="s">
        <v>661</v>
      </c>
      <c r="D972" s="17" t="s">
        <v>470</v>
      </c>
      <c r="E972" s="17" t="s">
        <v>705</v>
      </c>
      <c r="F972" s="17"/>
      <c r="G972" s="14">
        <f>SUM(G973)</f>
        <v>5364.2</v>
      </c>
      <c r="H972" s="14">
        <f t="shared" ref="H972:I972" si="565">SUM(H973)</f>
        <v>5346.2</v>
      </c>
      <c r="I972" s="14">
        <f t="shared" si="565"/>
        <v>0</v>
      </c>
    </row>
    <row r="973" spans="1:9" ht="36" x14ac:dyDescent="0.25">
      <c r="A973" s="18">
        <f t="shared" si="532"/>
        <v>961</v>
      </c>
      <c r="B973" s="16" t="s">
        <v>157</v>
      </c>
      <c r="C973" s="17" t="s">
        <v>661</v>
      </c>
      <c r="D973" s="17" t="s">
        <v>470</v>
      </c>
      <c r="E973" s="17" t="s">
        <v>705</v>
      </c>
      <c r="F973" s="17" t="s">
        <v>158</v>
      </c>
      <c r="G973" s="14">
        <v>5364.2</v>
      </c>
      <c r="H973" s="14">
        <v>5346.2</v>
      </c>
      <c r="I973" s="14">
        <v>0</v>
      </c>
    </row>
    <row r="974" spans="1:9" ht="144" x14ac:dyDescent="0.25">
      <c r="A974" s="18">
        <f t="shared" si="532"/>
        <v>962</v>
      </c>
      <c r="B974" s="16" t="s">
        <v>878</v>
      </c>
      <c r="C974" s="17" t="s">
        <v>661</v>
      </c>
      <c r="D974" s="17" t="s">
        <v>470</v>
      </c>
      <c r="E974" s="27" t="s">
        <v>879</v>
      </c>
      <c r="F974" s="17"/>
      <c r="G974" s="14">
        <f>SUM(G975)</f>
        <v>6909.4</v>
      </c>
      <c r="H974" s="14">
        <f t="shared" ref="H974:I974" si="566">SUM(H975)</f>
        <v>0</v>
      </c>
      <c r="I974" s="14">
        <f t="shared" si="566"/>
        <v>0</v>
      </c>
    </row>
    <row r="975" spans="1:9" ht="36" x14ac:dyDescent="0.25">
      <c r="A975" s="18">
        <f t="shared" si="532"/>
        <v>963</v>
      </c>
      <c r="B975" s="16" t="s">
        <v>805</v>
      </c>
      <c r="C975" s="17" t="s">
        <v>661</v>
      </c>
      <c r="D975" s="17" t="s">
        <v>470</v>
      </c>
      <c r="E975" s="27" t="s">
        <v>879</v>
      </c>
      <c r="F975" s="17">
        <v>610</v>
      </c>
      <c r="G975" s="14">
        <v>6909.4</v>
      </c>
      <c r="H975" s="14">
        <v>0</v>
      </c>
      <c r="I975" s="14">
        <v>0</v>
      </c>
    </row>
    <row r="976" spans="1:9" ht="75" customHeight="1" x14ac:dyDescent="0.25">
      <c r="A976" s="18">
        <f t="shared" si="532"/>
        <v>964</v>
      </c>
      <c r="B976" s="16" t="s">
        <v>706</v>
      </c>
      <c r="C976" s="17" t="s">
        <v>661</v>
      </c>
      <c r="D976" s="17" t="s">
        <v>470</v>
      </c>
      <c r="E976" s="17" t="s">
        <v>707</v>
      </c>
      <c r="F976" s="17"/>
      <c r="G976" s="14">
        <f>SUM(G977)</f>
        <v>240</v>
      </c>
      <c r="H976" s="14">
        <f t="shared" ref="H976:I976" si="567">SUM(H977)</f>
        <v>0</v>
      </c>
      <c r="I976" s="14">
        <f t="shared" si="567"/>
        <v>0</v>
      </c>
    </row>
    <row r="977" spans="1:9" ht="36" x14ac:dyDescent="0.25">
      <c r="A977" s="18">
        <f t="shared" si="532"/>
        <v>965</v>
      </c>
      <c r="B977" s="16" t="s">
        <v>157</v>
      </c>
      <c r="C977" s="17" t="s">
        <v>661</v>
      </c>
      <c r="D977" s="17" t="s">
        <v>470</v>
      </c>
      <c r="E977" s="17" t="s">
        <v>707</v>
      </c>
      <c r="F977" s="17" t="s">
        <v>158</v>
      </c>
      <c r="G977" s="14">
        <v>240</v>
      </c>
      <c r="H977" s="14">
        <v>0</v>
      </c>
      <c r="I977" s="14">
        <v>0</v>
      </c>
    </row>
    <row r="978" spans="1:9" ht="78" customHeight="1" x14ac:dyDescent="0.25">
      <c r="A978" s="18">
        <f t="shared" si="532"/>
        <v>966</v>
      </c>
      <c r="B978" s="16" t="s">
        <v>171</v>
      </c>
      <c r="C978" s="17" t="s">
        <v>661</v>
      </c>
      <c r="D978" s="17" t="s">
        <v>470</v>
      </c>
      <c r="E978" s="17" t="s">
        <v>172</v>
      </c>
      <c r="F978" s="17"/>
      <c r="G978" s="14">
        <f>SUM(G979)</f>
        <v>131.93</v>
      </c>
      <c r="H978" s="14">
        <f t="shared" ref="H978:I978" si="568">SUM(H979)</f>
        <v>131.93</v>
      </c>
      <c r="I978" s="14">
        <f t="shared" si="568"/>
        <v>131.93</v>
      </c>
    </row>
    <row r="979" spans="1:9" ht="93" customHeight="1" x14ac:dyDescent="0.25">
      <c r="A979" s="18">
        <f t="shared" si="532"/>
        <v>967</v>
      </c>
      <c r="B979" s="16" t="s">
        <v>708</v>
      </c>
      <c r="C979" s="17" t="s">
        <v>661</v>
      </c>
      <c r="D979" s="17" t="s">
        <v>470</v>
      </c>
      <c r="E979" s="17" t="s">
        <v>709</v>
      </c>
      <c r="F979" s="17"/>
      <c r="G979" s="14">
        <f>SUM(G980)</f>
        <v>131.93</v>
      </c>
      <c r="H979" s="14">
        <f t="shared" ref="H979:I979" si="569">SUM(H980)</f>
        <v>131.93</v>
      </c>
      <c r="I979" s="14">
        <f t="shared" si="569"/>
        <v>131.93</v>
      </c>
    </row>
    <row r="980" spans="1:9" ht="54" x14ac:dyDescent="0.25">
      <c r="A980" s="18">
        <f t="shared" si="532"/>
        <v>968</v>
      </c>
      <c r="B980" s="16" t="s">
        <v>710</v>
      </c>
      <c r="C980" s="17" t="s">
        <v>661</v>
      </c>
      <c r="D980" s="17" t="s">
        <v>470</v>
      </c>
      <c r="E980" s="17" t="s">
        <v>711</v>
      </c>
      <c r="F980" s="17"/>
      <c r="G980" s="14">
        <f>SUM(G981)</f>
        <v>131.93</v>
      </c>
      <c r="H980" s="14">
        <f t="shared" ref="H980:I980" si="570">SUM(H981)</f>
        <v>131.93</v>
      </c>
      <c r="I980" s="14">
        <f t="shared" si="570"/>
        <v>131.93</v>
      </c>
    </row>
    <row r="981" spans="1:9" ht="36" x14ac:dyDescent="0.25">
      <c r="A981" s="18">
        <f t="shared" si="532"/>
        <v>969</v>
      </c>
      <c r="B981" s="16" t="s">
        <v>157</v>
      </c>
      <c r="C981" s="17" t="s">
        <v>661</v>
      </c>
      <c r="D981" s="17" t="s">
        <v>470</v>
      </c>
      <c r="E981" s="17" t="s">
        <v>711</v>
      </c>
      <c r="F981" s="17" t="s">
        <v>158</v>
      </c>
      <c r="G981" s="14">
        <v>131.93</v>
      </c>
      <c r="H981" s="14">
        <v>131.93</v>
      </c>
      <c r="I981" s="14">
        <v>131.93</v>
      </c>
    </row>
    <row r="982" spans="1:9" ht="93.75" customHeight="1" x14ac:dyDescent="0.25">
      <c r="A982" s="18">
        <f t="shared" si="532"/>
        <v>970</v>
      </c>
      <c r="B982" s="16" t="s">
        <v>147</v>
      </c>
      <c r="C982" s="17" t="s">
        <v>661</v>
      </c>
      <c r="D982" s="17" t="s">
        <v>470</v>
      </c>
      <c r="E982" s="17" t="s">
        <v>148</v>
      </c>
      <c r="F982" s="17"/>
      <c r="G982" s="14">
        <f>SUM(G983)</f>
        <v>25</v>
      </c>
      <c r="H982" s="14">
        <f t="shared" ref="H982:I982" si="571">SUM(H983)</f>
        <v>25</v>
      </c>
      <c r="I982" s="14">
        <f t="shared" si="571"/>
        <v>25</v>
      </c>
    </row>
    <row r="983" spans="1:9" ht="54" x14ac:dyDescent="0.25">
      <c r="A983" s="18">
        <f t="shared" si="532"/>
        <v>971</v>
      </c>
      <c r="B983" s="16" t="s">
        <v>465</v>
      </c>
      <c r="C983" s="17" t="s">
        <v>661</v>
      </c>
      <c r="D983" s="17" t="s">
        <v>470</v>
      </c>
      <c r="E983" s="17" t="s">
        <v>466</v>
      </c>
      <c r="F983" s="17"/>
      <c r="G983" s="14">
        <f>SUM(G984)</f>
        <v>25</v>
      </c>
      <c r="H983" s="14">
        <f t="shared" ref="H983:I983" si="572">SUM(H984)</f>
        <v>25</v>
      </c>
      <c r="I983" s="14">
        <f t="shared" si="572"/>
        <v>25</v>
      </c>
    </row>
    <row r="984" spans="1:9" ht="36" x14ac:dyDescent="0.25">
      <c r="A984" s="18">
        <f t="shared" si="532"/>
        <v>972</v>
      </c>
      <c r="B984" s="16" t="s">
        <v>157</v>
      </c>
      <c r="C984" s="17" t="s">
        <v>661</v>
      </c>
      <c r="D984" s="17" t="s">
        <v>470</v>
      </c>
      <c r="E984" s="17" t="s">
        <v>466</v>
      </c>
      <c r="F984" s="17" t="s">
        <v>158</v>
      </c>
      <c r="G984" s="14">
        <v>25</v>
      </c>
      <c r="H984" s="14">
        <v>25</v>
      </c>
      <c r="I984" s="14">
        <v>25</v>
      </c>
    </row>
    <row r="985" spans="1:9" ht="36" x14ac:dyDescent="0.25">
      <c r="A985" s="19">
        <f t="shared" si="532"/>
        <v>973</v>
      </c>
      <c r="B985" s="20" t="s">
        <v>712</v>
      </c>
      <c r="C985" s="21" t="s">
        <v>661</v>
      </c>
      <c r="D985" s="21" t="s">
        <v>713</v>
      </c>
      <c r="E985" s="21"/>
      <c r="F985" s="21"/>
      <c r="G985" s="13">
        <f>SUM(G986+G991)</f>
        <v>35036.75</v>
      </c>
      <c r="H985" s="13">
        <f t="shared" ref="H985:I985" si="573">SUM(H986+H991)</f>
        <v>35374.299999999996</v>
      </c>
      <c r="I985" s="13">
        <f t="shared" si="573"/>
        <v>36741.199999999997</v>
      </c>
    </row>
    <row r="986" spans="1:9" ht="72" x14ac:dyDescent="0.25">
      <c r="A986" s="18">
        <f t="shared" si="532"/>
        <v>974</v>
      </c>
      <c r="B986" s="16" t="s">
        <v>662</v>
      </c>
      <c r="C986" s="17" t="s">
        <v>661</v>
      </c>
      <c r="D986" s="17" t="s">
        <v>713</v>
      </c>
      <c r="E986" s="17" t="s">
        <v>663</v>
      </c>
      <c r="F986" s="17"/>
      <c r="G986" s="14">
        <f>SUM(G987)</f>
        <v>34649.5</v>
      </c>
      <c r="H986" s="14">
        <f t="shared" ref="H986:I986" si="574">SUM(H987)</f>
        <v>35374.299999999996</v>
      </c>
      <c r="I986" s="14">
        <f t="shared" si="574"/>
        <v>36741.199999999997</v>
      </c>
    </row>
    <row r="987" spans="1:9" ht="72" x14ac:dyDescent="0.25">
      <c r="A987" s="18">
        <f t="shared" si="532"/>
        <v>975</v>
      </c>
      <c r="B987" s="16" t="s">
        <v>714</v>
      </c>
      <c r="C987" s="17" t="s">
        <v>661</v>
      </c>
      <c r="D987" s="17" t="s">
        <v>713</v>
      </c>
      <c r="E987" s="17" t="s">
        <v>715</v>
      </c>
      <c r="F987" s="17"/>
      <c r="G987" s="14">
        <f>SUM(G988)</f>
        <v>34649.5</v>
      </c>
      <c r="H987" s="14">
        <f t="shared" ref="H987:I987" si="575">SUM(H988)</f>
        <v>35374.299999999996</v>
      </c>
      <c r="I987" s="14">
        <f t="shared" si="575"/>
        <v>36741.199999999997</v>
      </c>
    </row>
    <row r="988" spans="1:9" ht="36" x14ac:dyDescent="0.25">
      <c r="A988" s="18">
        <f t="shared" ref="A988:A1067" si="576">SUM(A987+1)</f>
        <v>976</v>
      </c>
      <c r="B988" s="16" t="s">
        <v>716</v>
      </c>
      <c r="C988" s="17" t="s">
        <v>661</v>
      </c>
      <c r="D988" s="17" t="s">
        <v>713</v>
      </c>
      <c r="E988" s="17" t="s">
        <v>717</v>
      </c>
      <c r="F988" s="17"/>
      <c r="G988" s="14">
        <f>SUM(G989:G990)</f>
        <v>34649.5</v>
      </c>
      <c r="H988" s="14">
        <f t="shared" ref="H988:I988" si="577">SUM(H989:H990)</f>
        <v>35374.299999999996</v>
      </c>
      <c r="I988" s="14">
        <f t="shared" si="577"/>
        <v>36741.199999999997</v>
      </c>
    </row>
    <row r="989" spans="1:9" ht="36" x14ac:dyDescent="0.25">
      <c r="A989" s="18">
        <f t="shared" si="576"/>
        <v>977</v>
      </c>
      <c r="B989" s="16" t="s">
        <v>106</v>
      </c>
      <c r="C989" s="17" t="s">
        <v>661</v>
      </c>
      <c r="D989" s="17" t="s">
        <v>713</v>
      </c>
      <c r="E989" s="17" t="s">
        <v>717</v>
      </c>
      <c r="F989" s="17" t="s">
        <v>107</v>
      </c>
      <c r="G989" s="14">
        <v>33422.800000000003</v>
      </c>
      <c r="H989" s="14">
        <v>34147.599999999999</v>
      </c>
      <c r="I989" s="14">
        <v>35514.5</v>
      </c>
    </row>
    <row r="990" spans="1:9" ht="59.25" customHeight="1" x14ac:dyDescent="0.25">
      <c r="A990" s="18">
        <f t="shared" si="576"/>
        <v>978</v>
      </c>
      <c r="B990" s="16" t="s">
        <v>33</v>
      </c>
      <c r="C990" s="17" t="s">
        <v>661</v>
      </c>
      <c r="D990" s="17" t="s">
        <v>713</v>
      </c>
      <c r="E990" s="17" t="s">
        <v>717</v>
      </c>
      <c r="F990" s="17" t="s">
        <v>34</v>
      </c>
      <c r="G990" s="14">
        <v>1226.7</v>
      </c>
      <c r="H990" s="14">
        <v>1226.7</v>
      </c>
      <c r="I990" s="14">
        <v>1226.7</v>
      </c>
    </row>
    <row r="991" spans="1:9" ht="24" customHeight="1" x14ac:dyDescent="0.25">
      <c r="A991" s="18">
        <f t="shared" si="576"/>
        <v>979</v>
      </c>
      <c r="B991" s="16" t="s">
        <v>893</v>
      </c>
      <c r="C991" s="17" t="s">
        <v>661</v>
      </c>
      <c r="D991" s="17" t="s">
        <v>713</v>
      </c>
      <c r="E991" s="17">
        <v>7000000000</v>
      </c>
      <c r="F991" s="17"/>
      <c r="G991" s="14">
        <f>SUM(G992)</f>
        <v>387.25</v>
      </c>
      <c r="H991" s="14">
        <f t="shared" ref="H991:I991" si="578">SUM(H992)</f>
        <v>0</v>
      </c>
      <c r="I991" s="14">
        <f t="shared" si="578"/>
        <v>0</v>
      </c>
    </row>
    <row r="992" spans="1:9" ht="148.5" customHeight="1" x14ac:dyDescent="0.25">
      <c r="A992" s="18">
        <f t="shared" si="576"/>
        <v>980</v>
      </c>
      <c r="B992" s="16" t="s">
        <v>894</v>
      </c>
      <c r="C992" s="17" t="s">
        <v>661</v>
      </c>
      <c r="D992" s="17" t="s">
        <v>713</v>
      </c>
      <c r="E992" s="17">
        <v>7000140600</v>
      </c>
      <c r="F992" s="17"/>
      <c r="G992" s="14">
        <f>SUM(G993)</f>
        <v>387.25</v>
      </c>
      <c r="H992" s="14">
        <f t="shared" ref="H992:I992" si="579">SUM(H993)</f>
        <v>0</v>
      </c>
      <c r="I992" s="14">
        <f t="shared" si="579"/>
        <v>0</v>
      </c>
    </row>
    <row r="993" spans="1:9" ht="39" customHeight="1" x14ac:dyDescent="0.25">
      <c r="A993" s="18">
        <f t="shared" si="576"/>
        <v>981</v>
      </c>
      <c r="B993" s="16" t="s">
        <v>106</v>
      </c>
      <c r="C993" s="17" t="s">
        <v>661</v>
      </c>
      <c r="D993" s="17" t="s">
        <v>713</v>
      </c>
      <c r="E993" s="17">
        <v>7000140600</v>
      </c>
      <c r="F993" s="17">
        <v>110</v>
      </c>
      <c r="G993" s="14">
        <v>387.25</v>
      </c>
      <c r="H993" s="14">
        <v>0</v>
      </c>
      <c r="I993" s="14">
        <v>0</v>
      </c>
    </row>
    <row r="994" spans="1:9" ht="38.25" customHeight="1" x14ac:dyDescent="0.25">
      <c r="A994" s="18">
        <f t="shared" si="576"/>
        <v>982</v>
      </c>
      <c r="B994" s="20" t="s">
        <v>567</v>
      </c>
      <c r="C994" s="21">
        <v>908</v>
      </c>
      <c r="D994" s="21" t="s">
        <v>568</v>
      </c>
      <c r="E994" s="21"/>
      <c r="F994" s="21"/>
      <c r="G994" s="13">
        <f>SUM(G995+G1005)</f>
        <v>4379.88</v>
      </c>
      <c r="H994" s="13">
        <f t="shared" ref="H994:I994" si="580">SUM(H995+H1005)</f>
        <v>3855.6499999999996</v>
      </c>
      <c r="I994" s="13">
        <f t="shared" si="580"/>
        <v>3986.56</v>
      </c>
    </row>
    <row r="995" spans="1:9" ht="19.5" customHeight="1" x14ac:dyDescent="0.25">
      <c r="A995" s="19">
        <f t="shared" si="576"/>
        <v>983</v>
      </c>
      <c r="B995" s="20" t="s">
        <v>569</v>
      </c>
      <c r="C995" s="21">
        <v>908</v>
      </c>
      <c r="D995" s="21" t="s">
        <v>570</v>
      </c>
      <c r="E995" s="21"/>
      <c r="F995" s="21"/>
      <c r="G995" s="13">
        <f>SUM(G996+G1002)</f>
        <v>3862.5</v>
      </c>
      <c r="H995" s="13">
        <f t="shared" ref="H995:I995" si="581">SUM(H996+H1002)</f>
        <v>3349.95</v>
      </c>
      <c r="I995" s="13">
        <f t="shared" si="581"/>
        <v>3466.89</v>
      </c>
    </row>
    <row r="996" spans="1:9" ht="59.25" customHeight="1" x14ac:dyDescent="0.25">
      <c r="A996" s="18">
        <f t="shared" si="576"/>
        <v>984</v>
      </c>
      <c r="B996" s="16" t="s">
        <v>80</v>
      </c>
      <c r="C996" s="17">
        <v>908</v>
      </c>
      <c r="D996" s="17" t="s">
        <v>570</v>
      </c>
      <c r="E996" s="17" t="s">
        <v>81</v>
      </c>
      <c r="F996" s="17"/>
      <c r="G996" s="14">
        <f>SUM(G997)</f>
        <v>3748.17</v>
      </c>
      <c r="H996" s="14">
        <f t="shared" ref="H996:I996" si="582">SUM(H997)</f>
        <v>3349.95</v>
      </c>
      <c r="I996" s="14">
        <f t="shared" si="582"/>
        <v>3466.89</v>
      </c>
    </row>
    <row r="997" spans="1:9" ht="59.25" customHeight="1" x14ac:dyDescent="0.25">
      <c r="A997" s="18">
        <f t="shared" si="576"/>
        <v>985</v>
      </c>
      <c r="B997" s="16" t="s">
        <v>231</v>
      </c>
      <c r="C997" s="17">
        <v>908</v>
      </c>
      <c r="D997" s="17" t="s">
        <v>570</v>
      </c>
      <c r="E997" s="17" t="s">
        <v>232</v>
      </c>
      <c r="F997" s="17"/>
      <c r="G997" s="14">
        <f>SUM(G998+G1000)</f>
        <v>3748.17</v>
      </c>
      <c r="H997" s="14">
        <f t="shared" ref="H997:I997" si="583">SUM(H998+H1000)</f>
        <v>3349.95</v>
      </c>
      <c r="I997" s="14">
        <f t="shared" si="583"/>
        <v>3466.89</v>
      </c>
    </row>
    <row r="998" spans="1:9" ht="59.25" customHeight="1" x14ac:dyDescent="0.25">
      <c r="A998" s="18">
        <f t="shared" si="576"/>
        <v>986</v>
      </c>
      <c r="B998" s="16" t="s">
        <v>235</v>
      </c>
      <c r="C998" s="17">
        <v>908</v>
      </c>
      <c r="D998" s="17" t="s">
        <v>570</v>
      </c>
      <c r="E998" s="17" t="s">
        <v>236</v>
      </c>
      <c r="F998" s="17"/>
      <c r="G998" s="14">
        <f>SUM(G999)</f>
        <v>500</v>
      </c>
      <c r="H998" s="14">
        <f t="shared" ref="H998:I998" si="584">SUM(H999)</f>
        <v>0</v>
      </c>
      <c r="I998" s="14">
        <f t="shared" si="584"/>
        <v>0</v>
      </c>
    </row>
    <row r="999" spans="1:9" ht="40.5" customHeight="1" x14ac:dyDescent="0.25">
      <c r="A999" s="18">
        <f t="shared" si="576"/>
        <v>987</v>
      </c>
      <c r="B999" s="16" t="s">
        <v>272</v>
      </c>
      <c r="C999" s="17">
        <v>908</v>
      </c>
      <c r="D999" s="17" t="s">
        <v>570</v>
      </c>
      <c r="E999" s="17" t="s">
        <v>236</v>
      </c>
      <c r="F999" s="17" t="s">
        <v>273</v>
      </c>
      <c r="G999" s="14">
        <v>500</v>
      </c>
      <c r="H999" s="14">
        <v>0</v>
      </c>
      <c r="I999" s="14">
        <v>0</v>
      </c>
    </row>
    <row r="1000" spans="1:9" ht="59.25" customHeight="1" x14ac:dyDescent="0.25">
      <c r="A1000" s="18">
        <f t="shared" si="576"/>
        <v>988</v>
      </c>
      <c r="B1000" s="16" t="s">
        <v>571</v>
      </c>
      <c r="C1000" s="17">
        <v>908</v>
      </c>
      <c r="D1000" s="17" t="s">
        <v>570</v>
      </c>
      <c r="E1000" s="17" t="s">
        <v>572</v>
      </c>
      <c r="F1000" s="17"/>
      <c r="G1000" s="14">
        <f>SUM(G1001)</f>
        <v>3248.17</v>
      </c>
      <c r="H1000" s="14">
        <f t="shared" ref="H1000:I1000" si="585">SUM(H1001)</f>
        <v>3349.95</v>
      </c>
      <c r="I1000" s="14">
        <f t="shared" si="585"/>
        <v>3466.89</v>
      </c>
    </row>
    <row r="1001" spans="1:9" ht="39" customHeight="1" x14ac:dyDescent="0.25">
      <c r="A1001" s="18">
        <f t="shared" si="576"/>
        <v>989</v>
      </c>
      <c r="B1001" s="16" t="s">
        <v>272</v>
      </c>
      <c r="C1001" s="17">
        <v>908</v>
      </c>
      <c r="D1001" s="17" t="s">
        <v>570</v>
      </c>
      <c r="E1001" s="17" t="s">
        <v>572</v>
      </c>
      <c r="F1001" s="17" t="s">
        <v>273</v>
      </c>
      <c r="G1001" s="14">
        <v>3248.17</v>
      </c>
      <c r="H1001" s="14">
        <v>3349.95</v>
      </c>
      <c r="I1001" s="14">
        <v>3466.89</v>
      </c>
    </row>
    <row r="1002" spans="1:9" ht="21.75" customHeight="1" x14ac:dyDescent="0.25">
      <c r="A1002" s="18">
        <f t="shared" si="576"/>
        <v>990</v>
      </c>
      <c r="B1002" s="16" t="s">
        <v>891</v>
      </c>
      <c r="C1002" s="17">
        <v>908</v>
      </c>
      <c r="D1002" s="17" t="s">
        <v>570</v>
      </c>
      <c r="E1002" s="17">
        <v>7000000000</v>
      </c>
      <c r="F1002" s="17"/>
      <c r="G1002" s="14">
        <f>SUM(G1003)</f>
        <v>114.33</v>
      </c>
      <c r="H1002" s="14">
        <f t="shared" ref="H1002:I1003" si="586">SUM(H1003)</f>
        <v>0</v>
      </c>
      <c r="I1002" s="14">
        <f t="shared" si="586"/>
        <v>0</v>
      </c>
    </row>
    <row r="1003" spans="1:9" ht="153" customHeight="1" x14ac:dyDescent="0.25">
      <c r="A1003" s="18">
        <f t="shared" si="576"/>
        <v>991</v>
      </c>
      <c r="B1003" s="16" t="s">
        <v>895</v>
      </c>
      <c r="C1003" s="17">
        <v>908</v>
      </c>
      <c r="D1003" s="17" t="s">
        <v>570</v>
      </c>
      <c r="E1003" s="17">
        <v>7000140600</v>
      </c>
      <c r="F1003" s="17"/>
      <c r="G1003" s="14">
        <f>SUM(G1004)</f>
        <v>114.33</v>
      </c>
      <c r="H1003" s="14">
        <f t="shared" si="586"/>
        <v>0</v>
      </c>
      <c r="I1003" s="14">
        <f t="shared" si="586"/>
        <v>0</v>
      </c>
    </row>
    <row r="1004" spans="1:9" ht="39" customHeight="1" x14ac:dyDescent="0.25">
      <c r="A1004" s="18">
        <f t="shared" si="576"/>
        <v>992</v>
      </c>
      <c r="B1004" s="16" t="s">
        <v>272</v>
      </c>
      <c r="C1004" s="17">
        <v>908</v>
      </c>
      <c r="D1004" s="17" t="s">
        <v>570</v>
      </c>
      <c r="E1004" s="17">
        <v>7000140600</v>
      </c>
      <c r="F1004" s="17" t="s">
        <v>273</v>
      </c>
      <c r="G1004" s="14">
        <v>114.33</v>
      </c>
      <c r="H1004" s="14">
        <v>0</v>
      </c>
      <c r="I1004" s="14">
        <v>0</v>
      </c>
    </row>
    <row r="1005" spans="1:9" ht="36" customHeight="1" x14ac:dyDescent="0.25">
      <c r="A1005" s="19">
        <f t="shared" si="576"/>
        <v>993</v>
      </c>
      <c r="B1005" s="20" t="s">
        <v>573</v>
      </c>
      <c r="C1005" s="21">
        <v>908</v>
      </c>
      <c r="D1005" s="21" t="s">
        <v>574</v>
      </c>
      <c r="E1005" s="21"/>
      <c r="F1005" s="21"/>
      <c r="G1005" s="13">
        <f>SUM(G1006+G1010)</f>
        <v>517.38</v>
      </c>
      <c r="H1005" s="13">
        <f t="shared" ref="H1005:I1005" si="587">SUM(H1006+H1010)</f>
        <v>505.7</v>
      </c>
      <c r="I1005" s="13">
        <f t="shared" si="587"/>
        <v>519.66999999999996</v>
      </c>
    </row>
    <row r="1006" spans="1:9" ht="59.25" customHeight="1" x14ac:dyDescent="0.25">
      <c r="A1006" s="18">
        <f t="shared" si="576"/>
        <v>994</v>
      </c>
      <c r="B1006" s="16" t="s">
        <v>80</v>
      </c>
      <c r="C1006" s="17">
        <v>908</v>
      </c>
      <c r="D1006" s="17" t="s">
        <v>574</v>
      </c>
      <c r="E1006" s="17" t="s">
        <v>81</v>
      </c>
      <c r="F1006" s="17"/>
      <c r="G1006" s="14">
        <f>SUM(G1007)</f>
        <v>502.25</v>
      </c>
      <c r="H1006" s="14">
        <f t="shared" ref="H1006:I1008" si="588">SUM(H1007)</f>
        <v>505.7</v>
      </c>
      <c r="I1006" s="14">
        <f t="shared" si="588"/>
        <v>519.66999999999996</v>
      </c>
    </row>
    <row r="1007" spans="1:9" ht="59.25" customHeight="1" x14ac:dyDescent="0.25">
      <c r="A1007" s="18">
        <f t="shared" si="576"/>
        <v>995</v>
      </c>
      <c r="B1007" s="16" t="s">
        <v>231</v>
      </c>
      <c r="C1007" s="17">
        <v>908</v>
      </c>
      <c r="D1007" s="17" t="s">
        <v>574</v>
      </c>
      <c r="E1007" s="17" t="s">
        <v>232</v>
      </c>
      <c r="F1007" s="17"/>
      <c r="G1007" s="14">
        <f>SUM(G1008)</f>
        <v>502.25</v>
      </c>
      <c r="H1007" s="14">
        <f t="shared" si="588"/>
        <v>505.7</v>
      </c>
      <c r="I1007" s="14">
        <f t="shared" si="588"/>
        <v>519.66999999999996</v>
      </c>
    </row>
    <row r="1008" spans="1:9" ht="59.25" customHeight="1" x14ac:dyDescent="0.25">
      <c r="A1008" s="18">
        <f t="shared" si="576"/>
        <v>996</v>
      </c>
      <c r="B1008" s="16" t="s">
        <v>571</v>
      </c>
      <c r="C1008" s="17">
        <v>908</v>
      </c>
      <c r="D1008" s="17" t="s">
        <v>574</v>
      </c>
      <c r="E1008" s="17" t="s">
        <v>572</v>
      </c>
      <c r="F1008" s="17"/>
      <c r="G1008" s="14">
        <f>SUM(G1009)</f>
        <v>502.25</v>
      </c>
      <c r="H1008" s="14">
        <f t="shared" si="588"/>
        <v>505.7</v>
      </c>
      <c r="I1008" s="14">
        <f t="shared" si="588"/>
        <v>519.66999999999996</v>
      </c>
    </row>
    <row r="1009" spans="1:9" ht="38.25" customHeight="1" x14ac:dyDescent="0.25">
      <c r="A1009" s="18">
        <f t="shared" si="576"/>
        <v>997</v>
      </c>
      <c r="B1009" s="16" t="s">
        <v>272</v>
      </c>
      <c r="C1009" s="17">
        <v>908</v>
      </c>
      <c r="D1009" s="17" t="s">
        <v>574</v>
      </c>
      <c r="E1009" s="17" t="s">
        <v>572</v>
      </c>
      <c r="F1009" s="17" t="s">
        <v>273</v>
      </c>
      <c r="G1009" s="14">
        <v>502.25</v>
      </c>
      <c r="H1009" s="14">
        <v>505.7</v>
      </c>
      <c r="I1009" s="14">
        <v>519.66999999999996</v>
      </c>
    </row>
    <row r="1010" spans="1:9" ht="38.25" customHeight="1" x14ac:dyDescent="0.25">
      <c r="A1010" s="18">
        <f t="shared" si="576"/>
        <v>998</v>
      </c>
      <c r="B1010" s="16" t="s">
        <v>891</v>
      </c>
      <c r="C1010" s="17">
        <v>908</v>
      </c>
      <c r="D1010" s="17" t="s">
        <v>574</v>
      </c>
      <c r="E1010" s="17">
        <v>7000000000</v>
      </c>
      <c r="F1010" s="17"/>
      <c r="G1010" s="14">
        <f>SUM(G1011)</f>
        <v>15.13</v>
      </c>
      <c r="H1010" s="14">
        <f t="shared" ref="H1010:I1010" si="589">SUM(H1011)</f>
        <v>0</v>
      </c>
      <c r="I1010" s="14">
        <f t="shared" si="589"/>
        <v>0</v>
      </c>
    </row>
    <row r="1011" spans="1:9" ht="38.25" customHeight="1" x14ac:dyDescent="0.25">
      <c r="A1011" s="18">
        <f t="shared" si="576"/>
        <v>999</v>
      </c>
      <c r="B1011" s="16" t="s">
        <v>895</v>
      </c>
      <c r="C1011" s="17">
        <v>908</v>
      </c>
      <c r="D1011" s="17" t="s">
        <v>574</v>
      </c>
      <c r="E1011" s="17">
        <v>7000140600</v>
      </c>
      <c r="F1011" s="17"/>
      <c r="G1011" s="14">
        <f>SUM(G1012)</f>
        <v>15.13</v>
      </c>
      <c r="H1011" s="14">
        <f t="shared" ref="H1011:I1011" si="590">SUM(H1012)</f>
        <v>0</v>
      </c>
      <c r="I1011" s="14">
        <f t="shared" si="590"/>
        <v>0</v>
      </c>
    </row>
    <row r="1012" spans="1:9" ht="38.25" customHeight="1" x14ac:dyDescent="0.25">
      <c r="A1012" s="18">
        <f t="shared" si="576"/>
        <v>1000</v>
      </c>
      <c r="B1012" s="16" t="s">
        <v>272</v>
      </c>
      <c r="C1012" s="17">
        <v>908</v>
      </c>
      <c r="D1012" s="17" t="s">
        <v>574</v>
      </c>
      <c r="E1012" s="17">
        <v>7000140600</v>
      </c>
      <c r="F1012" s="17" t="s">
        <v>273</v>
      </c>
      <c r="G1012" s="14">
        <v>15.13</v>
      </c>
      <c r="H1012" s="14">
        <v>0</v>
      </c>
      <c r="I1012" s="14">
        <v>0</v>
      </c>
    </row>
    <row r="1013" spans="1:9" ht="21.75" customHeight="1" x14ac:dyDescent="0.25">
      <c r="A1013" s="19">
        <f t="shared" si="576"/>
        <v>1001</v>
      </c>
      <c r="B1013" s="20" t="s">
        <v>718</v>
      </c>
      <c r="C1013" s="21" t="s">
        <v>719</v>
      </c>
      <c r="D1013" s="21"/>
      <c r="E1013" s="21"/>
      <c r="F1013" s="21"/>
      <c r="G1013" s="13">
        <f>SUM(G1014)</f>
        <v>5839.8499999999995</v>
      </c>
      <c r="H1013" s="13">
        <f t="shared" ref="H1013:I1013" si="591">SUM(H1014)</f>
        <v>5772.4</v>
      </c>
      <c r="I1013" s="13">
        <f t="shared" si="591"/>
        <v>5971.2</v>
      </c>
    </row>
    <row r="1014" spans="1:9" ht="36" x14ac:dyDescent="0.25">
      <c r="A1014" s="19">
        <f t="shared" si="576"/>
        <v>1002</v>
      </c>
      <c r="B1014" s="20" t="s">
        <v>15</v>
      </c>
      <c r="C1014" s="21" t="s">
        <v>719</v>
      </c>
      <c r="D1014" s="21" t="s">
        <v>16</v>
      </c>
      <c r="E1014" s="21"/>
      <c r="F1014" s="21"/>
      <c r="G1014" s="13">
        <f>SUM(G1015)</f>
        <v>5839.8499999999995</v>
      </c>
      <c r="H1014" s="13">
        <f t="shared" ref="H1014:I1014" si="592">SUM(H1015)</f>
        <v>5772.4</v>
      </c>
      <c r="I1014" s="13">
        <f t="shared" si="592"/>
        <v>5971.2</v>
      </c>
    </row>
    <row r="1015" spans="1:9" ht="94.5" customHeight="1" x14ac:dyDescent="0.25">
      <c r="A1015" s="19">
        <f t="shared" si="576"/>
        <v>1003</v>
      </c>
      <c r="B1015" s="20" t="s">
        <v>720</v>
      </c>
      <c r="C1015" s="21" t="s">
        <v>719</v>
      </c>
      <c r="D1015" s="21" t="s">
        <v>721</v>
      </c>
      <c r="E1015" s="21"/>
      <c r="F1015" s="21"/>
      <c r="G1015" s="13">
        <f>SUM(G1016)</f>
        <v>5839.8499999999995</v>
      </c>
      <c r="H1015" s="13">
        <f t="shared" ref="H1015:I1015" si="593">SUM(H1016)</f>
        <v>5772.4</v>
      </c>
      <c r="I1015" s="13">
        <f t="shared" si="593"/>
        <v>5971.2</v>
      </c>
    </row>
    <row r="1016" spans="1:9" ht="18" x14ac:dyDescent="0.25">
      <c r="A1016" s="18">
        <f t="shared" si="576"/>
        <v>1004</v>
      </c>
      <c r="B1016" s="16" t="s">
        <v>811</v>
      </c>
      <c r="C1016" s="17" t="s">
        <v>719</v>
      </c>
      <c r="D1016" s="17" t="s">
        <v>721</v>
      </c>
      <c r="E1016" s="17" t="s">
        <v>45</v>
      </c>
      <c r="F1016" s="17"/>
      <c r="G1016" s="14">
        <f>SUM(G1017+G1019+G1022+G1028+G1026)</f>
        <v>5839.8499999999995</v>
      </c>
      <c r="H1016" s="14">
        <f t="shared" ref="H1016:I1016" si="594">SUM(H1017+H1019+H1022+H1028+H1026)</f>
        <v>5772.4</v>
      </c>
      <c r="I1016" s="14">
        <f t="shared" si="594"/>
        <v>5971.2</v>
      </c>
    </row>
    <row r="1017" spans="1:9" ht="36" x14ac:dyDescent="0.25">
      <c r="A1017" s="18">
        <f t="shared" si="576"/>
        <v>1005</v>
      </c>
      <c r="B1017" s="16" t="s">
        <v>722</v>
      </c>
      <c r="C1017" s="17" t="s">
        <v>719</v>
      </c>
      <c r="D1017" s="17" t="s">
        <v>721</v>
      </c>
      <c r="E1017" s="17" t="s">
        <v>723</v>
      </c>
      <c r="F1017" s="17"/>
      <c r="G1017" s="14">
        <f>SUM(G1018)</f>
        <v>2894.2</v>
      </c>
      <c r="H1017" s="14">
        <f t="shared" ref="H1017:I1017" si="595">SUM(H1018)</f>
        <v>3021</v>
      </c>
      <c r="I1017" s="14">
        <f t="shared" si="595"/>
        <v>3142.1</v>
      </c>
    </row>
    <row r="1018" spans="1:9" ht="54" x14ac:dyDescent="0.25">
      <c r="A1018" s="18">
        <f t="shared" si="576"/>
        <v>1006</v>
      </c>
      <c r="B1018" s="16" t="s">
        <v>25</v>
      </c>
      <c r="C1018" s="17" t="s">
        <v>719</v>
      </c>
      <c r="D1018" s="17" t="s">
        <v>721</v>
      </c>
      <c r="E1018" s="17" t="s">
        <v>723</v>
      </c>
      <c r="F1018" s="17" t="s">
        <v>26</v>
      </c>
      <c r="G1018" s="14">
        <v>2894.2</v>
      </c>
      <c r="H1018" s="14">
        <v>3021</v>
      </c>
      <c r="I1018" s="14">
        <v>3142.1</v>
      </c>
    </row>
    <row r="1019" spans="1:9" ht="89.25" customHeight="1" x14ac:dyDescent="0.25">
      <c r="A1019" s="18">
        <f t="shared" si="576"/>
        <v>1007</v>
      </c>
      <c r="B1019" s="16" t="s">
        <v>31</v>
      </c>
      <c r="C1019" s="17" t="s">
        <v>719</v>
      </c>
      <c r="D1019" s="17" t="s">
        <v>721</v>
      </c>
      <c r="E1019" s="17" t="s">
        <v>724</v>
      </c>
      <c r="F1019" s="17"/>
      <c r="G1019" s="14">
        <f>SUM(G1020:G1021)</f>
        <v>0</v>
      </c>
      <c r="H1019" s="14">
        <f t="shared" ref="H1019:I1019" si="596">SUM(H1020:H1021)</f>
        <v>52.4</v>
      </c>
      <c r="I1019" s="14">
        <f t="shared" si="596"/>
        <v>52.4</v>
      </c>
    </row>
    <row r="1020" spans="1:9" ht="54" x14ac:dyDescent="0.25">
      <c r="A1020" s="18">
        <f t="shared" si="576"/>
        <v>1008</v>
      </c>
      <c r="B1020" s="16" t="s">
        <v>25</v>
      </c>
      <c r="C1020" s="17" t="s">
        <v>719</v>
      </c>
      <c r="D1020" s="17" t="s">
        <v>721</v>
      </c>
      <c r="E1020" s="17" t="s">
        <v>724</v>
      </c>
      <c r="F1020" s="17" t="s">
        <v>26</v>
      </c>
      <c r="G1020" s="14">
        <f>16.4-16.4</f>
        <v>0</v>
      </c>
      <c r="H1020" s="14">
        <v>16.399999999999999</v>
      </c>
      <c r="I1020" s="14">
        <v>16.399999999999999</v>
      </c>
    </row>
    <row r="1021" spans="1:9" ht="55.5" customHeight="1" x14ac:dyDescent="0.25">
      <c r="A1021" s="18">
        <f t="shared" si="576"/>
        <v>1009</v>
      </c>
      <c r="B1021" s="16" t="s">
        <v>33</v>
      </c>
      <c r="C1021" s="17" t="s">
        <v>719</v>
      </c>
      <c r="D1021" s="17" t="s">
        <v>721</v>
      </c>
      <c r="E1021" s="17" t="s">
        <v>724</v>
      </c>
      <c r="F1021" s="17" t="s">
        <v>34</v>
      </c>
      <c r="G1021" s="14">
        <f>36-36</f>
        <v>0</v>
      </c>
      <c r="H1021" s="14">
        <v>36</v>
      </c>
      <c r="I1021" s="14">
        <v>36</v>
      </c>
    </row>
    <row r="1022" spans="1:9" ht="37.5" customHeight="1" x14ac:dyDescent="0.25">
      <c r="A1022" s="18">
        <f t="shared" si="576"/>
        <v>1010</v>
      </c>
      <c r="B1022" s="16" t="s">
        <v>725</v>
      </c>
      <c r="C1022" s="17" t="s">
        <v>719</v>
      </c>
      <c r="D1022" s="17" t="s">
        <v>721</v>
      </c>
      <c r="E1022" s="17" t="s">
        <v>726</v>
      </c>
      <c r="F1022" s="17"/>
      <c r="G1022" s="14">
        <f>SUM(G1023:G1025)</f>
        <v>2741.7000000000003</v>
      </c>
      <c r="H1022" s="14">
        <f t="shared" ref="H1022:I1022" si="597">SUM(H1023:H1024)</f>
        <v>2699</v>
      </c>
      <c r="I1022" s="14">
        <f t="shared" si="597"/>
        <v>2776.7</v>
      </c>
    </row>
    <row r="1023" spans="1:9" ht="54" x14ac:dyDescent="0.25">
      <c r="A1023" s="18">
        <f t="shared" si="576"/>
        <v>1011</v>
      </c>
      <c r="B1023" s="16" t="s">
        <v>25</v>
      </c>
      <c r="C1023" s="17" t="s">
        <v>719</v>
      </c>
      <c r="D1023" s="17" t="s">
        <v>721</v>
      </c>
      <c r="E1023" s="17" t="s">
        <v>726</v>
      </c>
      <c r="F1023" s="17" t="s">
        <v>26</v>
      </c>
      <c r="G1023" s="14">
        <v>2156.8000000000002</v>
      </c>
      <c r="H1023" s="14">
        <v>2213.5</v>
      </c>
      <c r="I1023" s="14">
        <v>2291.1999999999998</v>
      </c>
    </row>
    <row r="1024" spans="1:9" ht="56.25" customHeight="1" x14ac:dyDescent="0.25">
      <c r="A1024" s="18">
        <f t="shared" si="576"/>
        <v>1012</v>
      </c>
      <c r="B1024" s="16" t="s">
        <v>33</v>
      </c>
      <c r="C1024" s="17" t="s">
        <v>719</v>
      </c>
      <c r="D1024" s="17" t="s">
        <v>721</v>
      </c>
      <c r="E1024" s="17" t="s">
        <v>726</v>
      </c>
      <c r="F1024" s="17" t="s">
        <v>34</v>
      </c>
      <c r="G1024" s="14">
        <f>438.5+47+52.4</f>
        <v>537.9</v>
      </c>
      <c r="H1024" s="14">
        <v>485.5</v>
      </c>
      <c r="I1024" s="14">
        <v>485.5</v>
      </c>
    </row>
    <row r="1025" spans="1:9" ht="27.75" customHeight="1" x14ac:dyDescent="0.25">
      <c r="A1025" s="18">
        <f t="shared" si="576"/>
        <v>1013</v>
      </c>
      <c r="B1025" s="16" t="s">
        <v>88</v>
      </c>
      <c r="C1025" s="17" t="s">
        <v>719</v>
      </c>
      <c r="D1025" s="17" t="s">
        <v>721</v>
      </c>
      <c r="E1025" s="17" t="s">
        <v>726</v>
      </c>
      <c r="F1025" s="17">
        <v>830</v>
      </c>
      <c r="G1025" s="14">
        <v>47</v>
      </c>
      <c r="H1025" s="14">
        <v>0</v>
      </c>
      <c r="I1025" s="14">
        <v>0</v>
      </c>
    </row>
    <row r="1026" spans="1:9" ht="147.75" customHeight="1" x14ac:dyDescent="0.25">
      <c r="A1026" s="18">
        <f t="shared" si="576"/>
        <v>1014</v>
      </c>
      <c r="B1026" s="16" t="s">
        <v>890</v>
      </c>
      <c r="C1026" s="17" t="s">
        <v>719</v>
      </c>
      <c r="D1026" s="17" t="s">
        <v>721</v>
      </c>
      <c r="E1026" s="27" t="s">
        <v>882</v>
      </c>
      <c r="F1026" s="17"/>
      <c r="G1026" s="14">
        <f>SUM(G1027)</f>
        <v>153.54</v>
      </c>
      <c r="H1026" s="14">
        <f t="shared" ref="H1026:I1026" si="598">SUM(H1027)</f>
        <v>0</v>
      </c>
      <c r="I1026" s="14">
        <f t="shared" si="598"/>
        <v>0</v>
      </c>
    </row>
    <row r="1027" spans="1:9" ht="59.25" customHeight="1" x14ac:dyDescent="0.25">
      <c r="A1027" s="18">
        <f t="shared" si="576"/>
        <v>1015</v>
      </c>
      <c r="B1027" s="16" t="s">
        <v>25</v>
      </c>
      <c r="C1027" s="17" t="s">
        <v>719</v>
      </c>
      <c r="D1027" s="17" t="s">
        <v>721</v>
      </c>
      <c r="E1027" s="27" t="s">
        <v>882</v>
      </c>
      <c r="F1027" s="17">
        <v>120</v>
      </c>
      <c r="G1027" s="14">
        <v>153.54</v>
      </c>
      <c r="H1027" s="14">
        <v>0</v>
      </c>
      <c r="I1027" s="14">
        <v>0</v>
      </c>
    </row>
    <row r="1028" spans="1:9" ht="38.25" customHeight="1" x14ac:dyDescent="0.25">
      <c r="A1028" s="18">
        <f t="shared" si="576"/>
        <v>1016</v>
      </c>
      <c r="B1028" s="16" t="s">
        <v>854</v>
      </c>
      <c r="C1028" s="17" t="s">
        <v>719</v>
      </c>
      <c r="D1028" s="17" t="s">
        <v>721</v>
      </c>
      <c r="E1028" s="27" t="s">
        <v>810</v>
      </c>
      <c r="F1028" s="17"/>
      <c r="G1028" s="14">
        <f>SUM(G1029)</f>
        <v>50.41</v>
      </c>
      <c r="H1028" s="14">
        <f t="shared" ref="H1028:I1028" si="599">SUM(H1029)</f>
        <v>0</v>
      </c>
      <c r="I1028" s="14">
        <f t="shared" si="599"/>
        <v>0</v>
      </c>
    </row>
    <row r="1029" spans="1:9" ht="42" customHeight="1" x14ac:dyDescent="0.25">
      <c r="A1029" s="18">
        <f t="shared" si="576"/>
        <v>1017</v>
      </c>
      <c r="B1029" s="16" t="s">
        <v>25</v>
      </c>
      <c r="C1029" s="17" t="s">
        <v>719</v>
      </c>
      <c r="D1029" s="17" t="s">
        <v>721</v>
      </c>
      <c r="E1029" s="27" t="s">
        <v>810</v>
      </c>
      <c r="F1029" s="17">
        <v>120</v>
      </c>
      <c r="G1029" s="14">
        <v>50.41</v>
      </c>
      <c r="H1029" s="14">
        <v>0</v>
      </c>
      <c r="I1029" s="14">
        <v>0</v>
      </c>
    </row>
    <row r="1030" spans="1:9" ht="36" x14ac:dyDescent="0.25">
      <c r="A1030" s="19">
        <f t="shared" si="576"/>
        <v>1018</v>
      </c>
      <c r="B1030" s="20" t="s">
        <v>727</v>
      </c>
      <c r="C1030" s="21" t="s">
        <v>728</v>
      </c>
      <c r="D1030" s="21"/>
      <c r="E1030" s="21"/>
      <c r="F1030" s="21"/>
      <c r="G1030" s="13">
        <f>SUM(G1031)</f>
        <v>5181.25</v>
      </c>
      <c r="H1030" s="13">
        <f t="shared" ref="H1030:I1030" si="600">SUM(H1031)</f>
        <v>5259.97</v>
      </c>
      <c r="I1030" s="13">
        <f t="shared" si="600"/>
        <v>5394.7100000000009</v>
      </c>
    </row>
    <row r="1031" spans="1:9" ht="36" x14ac:dyDescent="0.25">
      <c r="A1031" s="19">
        <f t="shared" si="576"/>
        <v>1019</v>
      </c>
      <c r="B1031" s="20" t="s">
        <v>15</v>
      </c>
      <c r="C1031" s="21" t="s">
        <v>728</v>
      </c>
      <c r="D1031" s="21" t="s">
        <v>16</v>
      </c>
      <c r="E1031" s="21"/>
      <c r="F1031" s="21"/>
      <c r="G1031" s="13">
        <f>SUM(G1032)</f>
        <v>5181.25</v>
      </c>
      <c r="H1031" s="13">
        <f t="shared" ref="H1031:I1031" si="601">SUM(H1032)</f>
        <v>5259.97</v>
      </c>
      <c r="I1031" s="13">
        <f t="shared" si="601"/>
        <v>5394.7100000000009</v>
      </c>
    </row>
    <row r="1032" spans="1:9" ht="90" x14ac:dyDescent="0.25">
      <c r="A1032" s="19">
        <f t="shared" si="576"/>
        <v>1020</v>
      </c>
      <c r="B1032" s="20" t="s">
        <v>729</v>
      </c>
      <c r="C1032" s="21" t="s">
        <v>728</v>
      </c>
      <c r="D1032" s="21" t="s">
        <v>730</v>
      </c>
      <c r="E1032" s="21"/>
      <c r="F1032" s="21"/>
      <c r="G1032" s="13">
        <f>SUM(G1033)</f>
        <v>5181.25</v>
      </c>
      <c r="H1032" s="13">
        <f t="shared" ref="H1032:I1032" si="602">SUM(H1033)</f>
        <v>5259.97</v>
      </c>
      <c r="I1032" s="13">
        <f t="shared" si="602"/>
        <v>5394.7100000000009</v>
      </c>
    </row>
    <row r="1033" spans="1:9" ht="18" x14ac:dyDescent="0.25">
      <c r="A1033" s="18">
        <f t="shared" si="576"/>
        <v>1021</v>
      </c>
      <c r="B1033" s="16" t="s">
        <v>811</v>
      </c>
      <c r="C1033" s="17" t="s">
        <v>728</v>
      </c>
      <c r="D1033" s="17" t="s">
        <v>730</v>
      </c>
      <c r="E1033" s="17" t="s">
        <v>45</v>
      </c>
      <c r="F1033" s="17"/>
      <c r="G1033" s="14">
        <f>SUM(G1034+G1037+G1039+G1042)</f>
        <v>5181.25</v>
      </c>
      <c r="H1033" s="14">
        <f t="shared" ref="H1033:I1033" si="603">SUM(H1034+H1037+H1039+H1042)</f>
        <v>5259.97</v>
      </c>
      <c r="I1033" s="14">
        <f t="shared" si="603"/>
        <v>5394.7100000000009</v>
      </c>
    </row>
    <row r="1034" spans="1:9" ht="93.75" customHeight="1" x14ac:dyDescent="0.25">
      <c r="A1034" s="18">
        <f t="shared" si="576"/>
        <v>1022</v>
      </c>
      <c r="B1034" s="16" t="s">
        <v>31</v>
      </c>
      <c r="C1034" s="17" t="s">
        <v>728</v>
      </c>
      <c r="D1034" s="17" t="s">
        <v>730</v>
      </c>
      <c r="E1034" s="17" t="s">
        <v>724</v>
      </c>
      <c r="F1034" s="17"/>
      <c r="G1034" s="14">
        <f>SUM(G1035:G1036)</f>
        <v>69.960000000000008</v>
      </c>
      <c r="H1034" s="14">
        <f t="shared" ref="H1034:I1034" si="604">SUM(H1035:H1036)</f>
        <v>69.960000000000008</v>
      </c>
      <c r="I1034" s="14">
        <f t="shared" si="604"/>
        <v>69.960000000000008</v>
      </c>
    </row>
    <row r="1035" spans="1:9" ht="54" x14ac:dyDescent="0.25">
      <c r="A1035" s="18">
        <f t="shared" si="576"/>
        <v>1023</v>
      </c>
      <c r="B1035" s="16" t="s">
        <v>25</v>
      </c>
      <c r="C1035" s="17" t="s">
        <v>728</v>
      </c>
      <c r="D1035" s="17" t="s">
        <v>730</v>
      </c>
      <c r="E1035" s="17" t="s">
        <v>724</v>
      </c>
      <c r="F1035" s="17" t="s">
        <v>26</v>
      </c>
      <c r="G1035" s="14">
        <v>18.96</v>
      </c>
      <c r="H1035" s="14">
        <v>18.96</v>
      </c>
      <c r="I1035" s="14">
        <v>18.96</v>
      </c>
    </row>
    <row r="1036" spans="1:9" ht="55.5" customHeight="1" x14ac:dyDescent="0.25">
      <c r="A1036" s="18">
        <f t="shared" si="576"/>
        <v>1024</v>
      </c>
      <c r="B1036" s="16" t="s">
        <v>33</v>
      </c>
      <c r="C1036" s="17" t="s">
        <v>728</v>
      </c>
      <c r="D1036" s="17" t="s">
        <v>730</v>
      </c>
      <c r="E1036" s="17" t="s">
        <v>724</v>
      </c>
      <c r="F1036" s="17" t="s">
        <v>34</v>
      </c>
      <c r="G1036" s="14">
        <v>51</v>
      </c>
      <c r="H1036" s="14">
        <v>51</v>
      </c>
      <c r="I1036" s="14">
        <v>51</v>
      </c>
    </row>
    <row r="1037" spans="1:9" ht="42" customHeight="1" x14ac:dyDescent="0.25">
      <c r="A1037" s="18">
        <f t="shared" si="576"/>
        <v>1025</v>
      </c>
      <c r="B1037" s="16" t="s">
        <v>731</v>
      </c>
      <c r="C1037" s="17" t="s">
        <v>728</v>
      </c>
      <c r="D1037" s="17" t="s">
        <v>730</v>
      </c>
      <c r="E1037" s="17" t="s">
        <v>732</v>
      </c>
      <c r="F1037" s="17"/>
      <c r="G1037" s="14">
        <f>SUM(G1038)</f>
        <v>1978.4</v>
      </c>
      <c r="H1037" s="14">
        <f t="shared" ref="H1037:I1037" si="605">SUM(H1038)</f>
        <v>2065.0500000000002</v>
      </c>
      <c r="I1037" s="14">
        <f t="shared" si="605"/>
        <v>2147.8200000000002</v>
      </c>
    </row>
    <row r="1038" spans="1:9" ht="54" x14ac:dyDescent="0.25">
      <c r="A1038" s="18">
        <f t="shared" si="576"/>
        <v>1026</v>
      </c>
      <c r="B1038" s="16" t="s">
        <v>25</v>
      </c>
      <c r="C1038" s="17" t="s">
        <v>728</v>
      </c>
      <c r="D1038" s="17" t="s">
        <v>730</v>
      </c>
      <c r="E1038" s="17" t="s">
        <v>732</v>
      </c>
      <c r="F1038" s="17" t="s">
        <v>26</v>
      </c>
      <c r="G1038" s="14">
        <v>1978.4</v>
      </c>
      <c r="H1038" s="14">
        <v>2065.0500000000002</v>
      </c>
      <c r="I1038" s="14">
        <v>2147.8200000000002</v>
      </c>
    </row>
    <row r="1039" spans="1:9" ht="54" x14ac:dyDescent="0.25">
      <c r="A1039" s="18">
        <f t="shared" si="576"/>
        <v>1027</v>
      </c>
      <c r="B1039" s="16" t="s">
        <v>733</v>
      </c>
      <c r="C1039" s="17" t="s">
        <v>728</v>
      </c>
      <c r="D1039" s="17" t="s">
        <v>730</v>
      </c>
      <c r="E1039" s="17" t="s">
        <v>734</v>
      </c>
      <c r="F1039" s="17"/>
      <c r="G1039" s="14">
        <f>SUM(G1040:G1041)</f>
        <v>2990.27</v>
      </c>
      <c r="H1039" s="14">
        <f t="shared" ref="H1039:I1039" si="606">SUM(H1040:H1041)</f>
        <v>3124.96</v>
      </c>
      <c r="I1039" s="14">
        <f t="shared" si="606"/>
        <v>3176.9300000000003</v>
      </c>
    </row>
    <row r="1040" spans="1:9" ht="54" x14ac:dyDescent="0.25">
      <c r="A1040" s="18">
        <f t="shared" si="576"/>
        <v>1028</v>
      </c>
      <c r="B1040" s="16" t="s">
        <v>25</v>
      </c>
      <c r="C1040" s="17" t="s">
        <v>728</v>
      </c>
      <c r="D1040" s="17" t="s">
        <v>730</v>
      </c>
      <c r="E1040" s="17" t="s">
        <v>734</v>
      </c>
      <c r="F1040" s="17" t="s">
        <v>26</v>
      </c>
      <c r="G1040" s="14">
        <v>2485.98</v>
      </c>
      <c r="H1040" s="14">
        <v>2590.87</v>
      </c>
      <c r="I1040" s="14">
        <v>2692.84</v>
      </c>
    </row>
    <row r="1041" spans="1:9" ht="56.25" customHeight="1" x14ac:dyDescent="0.25">
      <c r="A1041" s="18">
        <f t="shared" si="576"/>
        <v>1029</v>
      </c>
      <c r="B1041" s="16" t="s">
        <v>33</v>
      </c>
      <c r="C1041" s="17" t="s">
        <v>728</v>
      </c>
      <c r="D1041" s="17" t="s">
        <v>730</v>
      </c>
      <c r="E1041" s="17" t="s">
        <v>734</v>
      </c>
      <c r="F1041" s="17" t="s">
        <v>34</v>
      </c>
      <c r="G1041" s="14">
        <v>504.29</v>
      </c>
      <c r="H1041" s="14">
        <v>534.09</v>
      </c>
      <c r="I1041" s="14">
        <v>484.09</v>
      </c>
    </row>
    <row r="1042" spans="1:9" ht="143.25" customHeight="1" x14ac:dyDescent="0.25">
      <c r="A1042" s="18">
        <f t="shared" si="576"/>
        <v>1030</v>
      </c>
      <c r="B1042" s="16" t="s">
        <v>890</v>
      </c>
      <c r="C1042" s="17" t="s">
        <v>728</v>
      </c>
      <c r="D1042" s="17" t="s">
        <v>730</v>
      </c>
      <c r="E1042" s="27" t="s">
        <v>882</v>
      </c>
      <c r="F1042" s="17"/>
      <c r="G1042" s="14">
        <f>SUM(G1043)</f>
        <v>142.62</v>
      </c>
      <c r="H1042" s="14">
        <f t="shared" ref="H1042:I1042" si="607">SUM(H1043)</f>
        <v>0</v>
      </c>
      <c r="I1042" s="14">
        <f t="shared" si="607"/>
        <v>0</v>
      </c>
    </row>
    <row r="1043" spans="1:9" ht="56.25" customHeight="1" x14ac:dyDescent="0.25">
      <c r="A1043" s="18">
        <f t="shared" si="576"/>
        <v>1031</v>
      </c>
      <c r="B1043" s="16" t="s">
        <v>25</v>
      </c>
      <c r="C1043" s="17" t="s">
        <v>728</v>
      </c>
      <c r="D1043" s="17" t="s">
        <v>730</v>
      </c>
      <c r="E1043" s="27" t="s">
        <v>882</v>
      </c>
      <c r="F1043" s="17">
        <v>120</v>
      </c>
      <c r="G1043" s="14">
        <v>142.62</v>
      </c>
      <c r="H1043" s="14">
        <v>0</v>
      </c>
      <c r="I1043" s="14">
        <v>0</v>
      </c>
    </row>
    <row r="1044" spans="1:9" ht="54" x14ac:dyDescent="0.25">
      <c r="A1044" s="19">
        <f t="shared" si="576"/>
        <v>1032</v>
      </c>
      <c r="B1044" s="20" t="s">
        <v>735</v>
      </c>
      <c r="C1044" s="21" t="s">
        <v>736</v>
      </c>
      <c r="D1044" s="21"/>
      <c r="E1044" s="21"/>
      <c r="F1044" s="21"/>
      <c r="G1044" s="13">
        <f>SUM(G1045+G1069)</f>
        <v>24890.489999999998</v>
      </c>
      <c r="H1044" s="13">
        <f t="shared" ref="H1044:I1044" si="608">SUM(H1045+H1069)</f>
        <v>25000.1</v>
      </c>
      <c r="I1044" s="13">
        <f t="shared" si="608"/>
        <v>25895.799999999996</v>
      </c>
    </row>
    <row r="1045" spans="1:9" ht="36" x14ac:dyDescent="0.25">
      <c r="A1045" s="19">
        <f t="shared" si="576"/>
        <v>1033</v>
      </c>
      <c r="B1045" s="20" t="s">
        <v>15</v>
      </c>
      <c r="C1045" s="21" t="s">
        <v>736</v>
      </c>
      <c r="D1045" s="21" t="s">
        <v>16</v>
      </c>
      <c r="E1045" s="21"/>
      <c r="F1045" s="21"/>
      <c r="G1045" s="13">
        <f>SUM(G1046)</f>
        <v>24889.05</v>
      </c>
      <c r="H1045" s="13">
        <f t="shared" ref="H1045:I1045" si="609">SUM(H1046)</f>
        <v>24999.23</v>
      </c>
      <c r="I1045" s="13">
        <f t="shared" si="609"/>
        <v>25895.499999999996</v>
      </c>
    </row>
    <row r="1046" spans="1:9" ht="90" x14ac:dyDescent="0.25">
      <c r="A1046" s="19">
        <f t="shared" si="576"/>
        <v>1034</v>
      </c>
      <c r="B1046" s="20" t="s">
        <v>729</v>
      </c>
      <c r="C1046" s="21" t="s">
        <v>736</v>
      </c>
      <c r="D1046" s="21" t="s">
        <v>730</v>
      </c>
      <c r="E1046" s="21"/>
      <c r="F1046" s="21"/>
      <c r="G1046" s="13">
        <f>SUM(G1047+G1062)</f>
        <v>24889.05</v>
      </c>
      <c r="H1046" s="13">
        <f t="shared" ref="H1046:I1046" si="610">SUM(H1047+H1062)</f>
        <v>24999.23</v>
      </c>
      <c r="I1046" s="13">
        <f t="shared" si="610"/>
        <v>25895.499999999996</v>
      </c>
    </row>
    <row r="1047" spans="1:9" ht="72" x14ac:dyDescent="0.25">
      <c r="A1047" s="18">
        <f t="shared" si="576"/>
        <v>1035</v>
      </c>
      <c r="B1047" s="16" t="s">
        <v>737</v>
      </c>
      <c r="C1047" s="17" t="s">
        <v>736</v>
      </c>
      <c r="D1047" s="17" t="s">
        <v>730</v>
      </c>
      <c r="E1047" s="17" t="s">
        <v>738</v>
      </c>
      <c r="F1047" s="17"/>
      <c r="G1047" s="14">
        <f>SUM(G1048+G1053)</f>
        <v>24152.86</v>
      </c>
      <c r="H1047" s="14">
        <f t="shared" ref="H1047:I1047" si="611">SUM(H1048+H1053)</f>
        <v>24999.23</v>
      </c>
      <c r="I1047" s="14">
        <f t="shared" si="611"/>
        <v>25895.499999999996</v>
      </c>
    </row>
    <row r="1048" spans="1:9" ht="55.5" customHeight="1" x14ac:dyDescent="0.25">
      <c r="A1048" s="18">
        <f t="shared" si="576"/>
        <v>1036</v>
      </c>
      <c r="B1048" s="16" t="s">
        <v>739</v>
      </c>
      <c r="C1048" s="17" t="s">
        <v>736</v>
      </c>
      <c r="D1048" s="17" t="s">
        <v>730</v>
      </c>
      <c r="E1048" s="17" t="s">
        <v>740</v>
      </c>
      <c r="F1048" s="17"/>
      <c r="G1048" s="14">
        <f>SUM(G1049+G1051)</f>
        <v>2059.6800000000003</v>
      </c>
      <c r="H1048" s="14">
        <f t="shared" ref="H1048:I1048" si="612">SUM(H1049+H1051)</f>
        <v>1919.1599999999999</v>
      </c>
      <c r="I1048" s="14">
        <f t="shared" si="612"/>
        <v>1919.1599999999999</v>
      </c>
    </row>
    <row r="1049" spans="1:9" ht="54" x14ac:dyDescent="0.25">
      <c r="A1049" s="18">
        <f t="shared" si="576"/>
        <v>1037</v>
      </c>
      <c r="B1049" s="16" t="s">
        <v>741</v>
      </c>
      <c r="C1049" s="17" t="s">
        <v>736</v>
      </c>
      <c r="D1049" s="17" t="s">
        <v>730</v>
      </c>
      <c r="E1049" s="17" t="s">
        <v>742</v>
      </c>
      <c r="F1049" s="17"/>
      <c r="G1049" s="14">
        <f>SUM(G1050)</f>
        <v>1018.6800000000001</v>
      </c>
      <c r="H1049" s="14">
        <f t="shared" ref="H1049:I1049" si="613">SUM(H1050)</f>
        <v>878.16</v>
      </c>
      <c r="I1049" s="14">
        <f t="shared" si="613"/>
        <v>878.16</v>
      </c>
    </row>
    <row r="1050" spans="1:9" ht="56.25" customHeight="1" x14ac:dyDescent="0.25">
      <c r="A1050" s="18">
        <f t="shared" si="576"/>
        <v>1038</v>
      </c>
      <c r="B1050" s="16" t="s">
        <v>33</v>
      </c>
      <c r="C1050" s="17" t="s">
        <v>736</v>
      </c>
      <c r="D1050" s="17" t="s">
        <v>730</v>
      </c>
      <c r="E1050" s="17" t="s">
        <v>742</v>
      </c>
      <c r="F1050" s="17" t="s">
        <v>34</v>
      </c>
      <c r="G1050" s="14">
        <f>931.59+87.09</f>
        <v>1018.6800000000001</v>
      </c>
      <c r="H1050" s="14">
        <v>878.16</v>
      </c>
      <c r="I1050" s="14">
        <v>878.16</v>
      </c>
    </row>
    <row r="1051" spans="1:9" ht="72" x14ac:dyDescent="0.25">
      <c r="A1051" s="18">
        <f t="shared" si="576"/>
        <v>1039</v>
      </c>
      <c r="B1051" s="16" t="s">
        <v>743</v>
      </c>
      <c r="C1051" s="17" t="s">
        <v>736</v>
      </c>
      <c r="D1051" s="17" t="s">
        <v>730</v>
      </c>
      <c r="E1051" s="17" t="s">
        <v>744</v>
      </c>
      <c r="F1051" s="17"/>
      <c r="G1051" s="14">
        <f>SUM(G1052)</f>
        <v>1041</v>
      </c>
      <c r="H1051" s="14">
        <f t="shared" ref="H1051:I1051" si="614">SUM(H1052)</f>
        <v>1041</v>
      </c>
      <c r="I1051" s="14">
        <f t="shared" si="614"/>
        <v>1041</v>
      </c>
    </row>
    <row r="1052" spans="1:9" ht="58.5" customHeight="1" x14ac:dyDescent="0.25">
      <c r="A1052" s="18">
        <f t="shared" si="576"/>
        <v>1040</v>
      </c>
      <c r="B1052" s="16" t="s">
        <v>33</v>
      </c>
      <c r="C1052" s="17" t="s">
        <v>736</v>
      </c>
      <c r="D1052" s="17" t="s">
        <v>730</v>
      </c>
      <c r="E1052" s="17" t="s">
        <v>744</v>
      </c>
      <c r="F1052" s="17" t="s">
        <v>34</v>
      </c>
      <c r="G1052" s="14">
        <v>1041</v>
      </c>
      <c r="H1052" s="14">
        <v>1041</v>
      </c>
      <c r="I1052" s="14">
        <v>1041</v>
      </c>
    </row>
    <row r="1053" spans="1:9" ht="93" customHeight="1" x14ac:dyDescent="0.25">
      <c r="A1053" s="18">
        <f t="shared" si="576"/>
        <v>1041</v>
      </c>
      <c r="B1053" s="16" t="s">
        <v>745</v>
      </c>
      <c r="C1053" s="17" t="s">
        <v>736</v>
      </c>
      <c r="D1053" s="17" t="s">
        <v>730</v>
      </c>
      <c r="E1053" s="17" t="s">
        <v>746</v>
      </c>
      <c r="F1053" s="17"/>
      <c r="G1053" s="14">
        <f>SUM(G1054+G1057+G1060)</f>
        <v>22093.18</v>
      </c>
      <c r="H1053" s="14">
        <f t="shared" ref="H1053:I1053" si="615">SUM(H1054+H1057+H1060)</f>
        <v>23080.07</v>
      </c>
      <c r="I1053" s="14">
        <f t="shared" si="615"/>
        <v>23976.339999999997</v>
      </c>
    </row>
    <row r="1054" spans="1:9" ht="36" x14ac:dyDescent="0.25">
      <c r="A1054" s="18">
        <f t="shared" si="576"/>
        <v>1042</v>
      </c>
      <c r="B1054" s="16" t="s">
        <v>35</v>
      </c>
      <c r="C1054" s="17" t="s">
        <v>736</v>
      </c>
      <c r="D1054" s="17" t="s">
        <v>730</v>
      </c>
      <c r="E1054" s="17" t="s">
        <v>747</v>
      </c>
      <c r="F1054" s="17"/>
      <c r="G1054" s="14">
        <f>SUM(G1055:G1056)</f>
        <v>21089.86</v>
      </c>
      <c r="H1054" s="14">
        <f t="shared" ref="H1054:I1054" si="616">SUM(H1055:H1056)</f>
        <v>21930.3</v>
      </c>
      <c r="I1054" s="14">
        <f t="shared" si="616"/>
        <v>22826.55</v>
      </c>
    </row>
    <row r="1055" spans="1:9" ht="54" x14ac:dyDescent="0.25">
      <c r="A1055" s="18">
        <f t="shared" si="576"/>
        <v>1043</v>
      </c>
      <c r="B1055" s="16" t="s">
        <v>25</v>
      </c>
      <c r="C1055" s="17" t="s">
        <v>736</v>
      </c>
      <c r="D1055" s="17" t="s">
        <v>730</v>
      </c>
      <c r="E1055" s="17" t="s">
        <v>747</v>
      </c>
      <c r="F1055" s="17" t="s">
        <v>26</v>
      </c>
      <c r="G1055" s="14">
        <f>20823.49+4.6</f>
        <v>20828.09</v>
      </c>
      <c r="H1055" s="14">
        <v>21678.93</v>
      </c>
      <c r="I1055" s="14">
        <v>22575.18</v>
      </c>
    </row>
    <row r="1056" spans="1:9" ht="56.25" customHeight="1" x14ac:dyDescent="0.25">
      <c r="A1056" s="18">
        <f t="shared" si="576"/>
        <v>1044</v>
      </c>
      <c r="B1056" s="16" t="s">
        <v>33</v>
      </c>
      <c r="C1056" s="17" t="s">
        <v>736</v>
      </c>
      <c r="D1056" s="17" t="s">
        <v>730</v>
      </c>
      <c r="E1056" s="17" t="s">
        <v>747</v>
      </c>
      <c r="F1056" s="17" t="s">
        <v>34</v>
      </c>
      <c r="G1056" s="14">
        <f>246.77+15</f>
        <v>261.77</v>
      </c>
      <c r="H1056" s="14">
        <v>251.37</v>
      </c>
      <c r="I1056" s="14">
        <v>251.37</v>
      </c>
    </row>
    <row r="1057" spans="1:9" ht="96" customHeight="1" x14ac:dyDescent="0.25">
      <c r="A1057" s="18">
        <f t="shared" si="576"/>
        <v>1045</v>
      </c>
      <c r="B1057" s="16" t="s">
        <v>748</v>
      </c>
      <c r="C1057" s="17" t="s">
        <v>736</v>
      </c>
      <c r="D1057" s="17" t="s">
        <v>730</v>
      </c>
      <c r="E1057" s="17" t="s">
        <v>749</v>
      </c>
      <c r="F1057" s="17"/>
      <c r="G1057" s="14">
        <f>SUM(G1058:G1059)</f>
        <v>150.48000000000002</v>
      </c>
      <c r="H1057" s="14">
        <f t="shared" ref="H1057:I1057" si="617">SUM(H1058:H1059)</f>
        <v>30.619999999999997</v>
      </c>
      <c r="I1057" s="14">
        <f t="shared" si="617"/>
        <v>30.619999999999997</v>
      </c>
    </row>
    <row r="1058" spans="1:9" ht="54" x14ac:dyDescent="0.25">
      <c r="A1058" s="18">
        <f t="shared" si="576"/>
        <v>1046</v>
      </c>
      <c r="B1058" s="16" t="s">
        <v>25</v>
      </c>
      <c r="C1058" s="17" t="s">
        <v>736</v>
      </c>
      <c r="D1058" s="17" t="s">
        <v>730</v>
      </c>
      <c r="E1058" s="17" t="s">
        <v>749</v>
      </c>
      <c r="F1058" s="17" t="s">
        <v>26</v>
      </c>
      <c r="G1058" s="14">
        <f>99.2-4.72</f>
        <v>94.48</v>
      </c>
      <c r="H1058" s="14">
        <v>11.62</v>
      </c>
      <c r="I1058" s="14">
        <v>11.62</v>
      </c>
    </row>
    <row r="1059" spans="1:9" ht="55.5" customHeight="1" x14ac:dyDescent="0.25">
      <c r="A1059" s="18">
        <f t="shared" si="576"/>
        <v>1047</v>
      </c>
      <c r="B1059" s="16" t="s">
        <v>33</v>
      </c>
      <c r="C1059" s="17" t="s">
        <v>736</v>
      </c>
      <c r="D1059" s="17" t="s">
        <v>730</v>
      </c>
      <c r="E1059" s="17" t="s">
        <v>749</v>
      </c>
      <c r="F1059" s="17" t="s">
        <v>34</v>
      </c>
      <c r="G1059" s="14">
        <f>110-54</f>
        <v>56</v>
      </c>
      <c r="H1059" s="14">
        <v>19</v>
      </c>
      <c r="I1059" s="14">
        <v>19</v>
      </c>
    </row>
    <row r="1060" spans="1:9" ht="75" customHeight="1" x14ac:dyDescent="0.25">
      <c r="A1060" s="18">
        <f t="shared" si="576"/>
        <v>1048</v>
      </c>
      <c r="B1060" s="16" t="s">
        <v>750</v>
      </c>
      <c r="C1060" s="17" t="s">
        <v>736</v>
      </c>
      <c r="D1060" s="17" t="s">
        <v>730</v>
      </c>
      <c r="E1060" s="17" t="s">
        <v>751</v>
      </c>
      <c r="F1060" s="17"/>
      <c r="G1060" s="14">
        <f>SUM(G1061)</f>
        <v>852.84</v>
      </c>
      <c r="H1060" s="14">
        <f t="shared" ref="H1060:I1060" si="618">SUM(H1061)</f>
        <v>1119.1500000000001</v>
      </c>
      <c r="I1060" s="14">
        <f t="shared" si="618"/>
        <v>1119.17</v>
      </c>
    </row>
    <row r="1061" spans="1:9" ht="57.75" customHeight="1" x14ac:dyDescent="0.25">
      <c r="A1061" s="18">
        <f t="shared" si="576"/>
        <v>1049</v>
      </c>
      <c r="B1061" s="16" t="s">
        <v>33</v>
      </c>
      <c r="C1061" s="17" t="s">
        <v>736</v>
      </c>
      <c r="D1061" s="17" t="s">
        <v>730</v>
      </c>
      <c r="E1061" s="17" t="s">
        <v>751</v>
      </c>
      <c r="F1061" s="17" t="s">
        <v>34</v>
      </c>
      <c r="G1061" s="14">
        <f>896.21-43.37</f>
        <v>852.84</v>
      </c>
      <c r="H1061" s="14">
        <v>1119.1500000000001</v>
      </c>
      <c r="I1061" s="14">
        <v>1119.17</v>
      </c>
    </row>
    <row r="1062" spans="1:9" ht="24" customHeight="1" x14ac:dyDescent="0.25">
      <c r="A1062" s="18">
        <f t="shared" si="576"/>
        <v>1050</v>
      </c>
      <c r="B1062" s="16" t="s">
        <v>811</v>
      </c>
      <c r="C1062" s="17" t="s">
        <v>736</v>
      </c>
      <c r="D1062" s="17" t="s">
        <v>730</v>
      </c>
      <c r="E1062" s="27" t="s">
        <v>45</v>
      </c>
      <c r="F1062" s="17"/>
      <c r="G1062" s="14">
        <f>SUM(G1065+G1067+G1063)</f>
        <v>736.18999999999994</v>
      </c>
      <c r="H1062" s="14">
        <f t="shared" ref="H1062:I1062" si="619">SUM(H1065+H1067+H1063)</f>
        <v>0</v>
      </c>
      <c r="I1062" s="14">
        <f t="shared" si="619"/>
        <v>0</v>
      </c>
    </row>
    <row r="1063" spans="1:9" ht="149.25" customHeight="1" x14ac:dyDescent="0.25">
      <c r="A1063" s="18">
        <f t="shared" si="576"/>
        <v>1051</v>
      </c>
      <c r="B1063" s="16" t="s">
        <v>890</v>
      </c>
      <c r="C1063" s="17" t="s">
        <v>736</v>
      </c>
      <c r="D1063" s="17" t="s">
        <v>730</v>
      </c>
      <c r="E1063" s="27" t="s">
        <v>882</v>
      </c>
      <c r="F1063" s="17"/>
      <c r="G1063" s="14">
        <f>SUM(G1064)</f>
        <v>600.65</v>
      </c>
      <c r="H1063" s="14">
        <f t="shared" ref="H1063:I1063" si="620">SUM(H1064)</f>
        <v>0</v>
      </c>
      <c r="I1063" s="14">
        <f t="shared" si="620"/>
        <v>0</v>
      </c>
    </row>
    <row r="1064" spans="1:9" ht="24" customHeight="1" x14ac:dyDescent="0.25">
      <c r="A1064" s="18">
        <f t="shared" si="576"/>
        <v>1052</v>
      </c>
      <c r="B1064" s="16" t="s">
        <v>25</v>
      </c>
      <c r="C1064" s="17" t="s">
        <v>736</v>
      </c>
      <c r="D1064" s="17" t="s">
        <v>730</v>
      </c>
      <c r="E1064" s="27" t="s">
        <v>882</v>
      </c>
      <c r="F1064" s="17">
        <v>120</v>
      </c>
      <c r="G1064" s="14">
        <v>600.65</v>
      </c>
      <c r="H1064" s="14"/>
      <c r="I1064" s="14"/>
    </row>
    <row r="1065" spans="1:9" ht="42" customHeight="1" x14ac:dyDescent="0.25">
      <c r="A1065" s="18">
        <f t="shared" si="576"/>
        <v>1053</v>
      </c>
      <c r="B1065" s="16" t="s">
        <v>854</v>
      </c>
      <c r="C1065" s="17" t="s">
        <v>736</v>
      </c>
      <c r="D1065" s="17" t="s">
        <v>730</v>
      </c>
      <c r="E1065" s="27" t="s">
        <v>810</v>
      </c>
      <c r="F1065" s="17"/>
      <c r="G1065" s="14">
        <f>SUM(G1066)</f>
        <v>16.8</v>
      </c>
      <c r="H1065" s="14">
        <f t="shared" ref="H1065:I1065" si="621">SUM(H1066)</f>
        <v>0</v>
      </c>
      <c r="I1065" s="14">
        <f t="shared" si="621"/>
        <v>0</v>
      </c>
    </row>
    <row r="1066" spans="1:9" ht="57.75" customHeight="1" x14ac:dyDescent="0.25">
      <c r="A1066" s="18">
        <f t="shared" si="576"/>
        <v>1054</v>
      </c>
      <c r="B1066" s="16" t="s">
        <v>25</v>
      </c>
      <c r="C1066" s="17" t="s">
        <v>736</v>
      </c>
      <c r="D1066" s="17" t="s">
        <v>730</v>
      </c>
      <c r="E1066" s="27" t="s">
        <v>810</v>
      </c>
      <c r="F1066" s="17">
        <v>120</v>
      </c>
      <c r="G1066" s="14">
        <v>16.8</v>
      </c>
      <c r="H1066" s="14">
        <v>0</v>
      </c>
      <c r="I1066" s="14">
        <v>0</v>
      </c>
    </row>
    <row r="1067" spans="1:9" ht="57.75" customHeight="1" x14ac:dyDescent="0.25">
      <c r="A1067" s="18">
        <f t="shared" si="576"/>
        <v>1055</v>
      </c>
      <c r="B1067" s="16" t="s">
        <v>856</v>
      </c>
      <c r="C1067" s="17" t="s">
        <v>736</v>
      </c>
      <c r="D1067" s="17" t="s">
        <v>730</v>
      </c>
      <c r="E1067" s="17">
        <v>7000155490</v>
      </c>
      <c r="F1067" s="17"/>
      <c r="G1067" s="14">
        <f>SUM(G1068)</f>
        <v>118.74</v>
      </c>
      <c r="H1067" s="14">
        <f t="shared" ref="H1067:I1067" si="622">SUM(H1068)</f>
        <v>0</v>
      </c>
      <c r="I1067" s="14">
        <f t="shared" si="622"/>
        <v>0</v>
      </c>
    </row>
    <row r="1068" spans="1:9" ht="57.75" customHeight="1" x14ac:dyDescent="0.25">
      <c r="A1068" s="18">
        <f t="shared" ref="A1068:A1069" si="623">SUM(A1067+1)</f>
        <v>1056</v>
      </c>
      <c r="B1068" s="16" t="s">
        <v>857</v>
      </c>
      <c r="C1068" s="17" t="s">
        <v>736</v>
      </c>
      <c r="D1068" s="17" t="s">
        <v>730</v>
      </c>
      <c r="E1068" s="17">
        <v>7000155490</v>
      </c>
      <c r="F1068" s="17">
        <v>120</v>
      </c>
      <c r="G1068" s="14">
        <v>118.74</v>
      </c>
      <c r="H1068" s="14">
        <v>0</v>
      </c>
      <c r="I1068" s="14">
        <v>0</v>
      </c>
    </row>
    <row r="1069" spans="1:9" ht="54" x14ac:dyDescent="0.25">
      <c r="A1069" s="18">
        <f t="shared" si="623"/>
        <v>1057</v>
      </c>
      <c r="B1069" s="20" t="s">
        <v>752</v>
      </c>
      <c r="C1069" s="21" t="s">
        <v>736</v>
      </c>
      <c r="D1069" s="21" t="s">
        <v>753</v>
      </c>
      <c r="E1069" s="21"/>
      <c r="F1069" s="21"/>
      <c r="G1069" s="13">
        <f>SUM(G1070)</f>
        <v>1.44</v>
      </c>
      <c r="H1069" s="13">
        <f t="shared" ref="H1069:I1069" si="624">SUM(H1070)</f>
        <v>0.87</v>
      </c>
      <c r="I1069" s="13">
        <f t="shared" si="624"/>
        <v>0.3</v>
      </c>
    </row>
    <row r="1070" spans="1:9" ht="42" customHeight="1" x14ac:dyDescent="0.25">
      <c r="A1070" s="19">
        <f t="shared" ref="A1070:A1075" si="625">SUM(A1069+1)</f>
        <v>1058</v>
      </c>
      <c r="B1070" s="20" t="s">
        <v>754</v>
      </c>
      <c r="C1070" s="21" t="s">
        <v>736</v>
      </c>
      <c r="D1070" s="21" t="s">
        <v>755</v>
      </c>
      <c r="E1070" s="21"/>
      <c r="F1070" s="21"/>
      <c r="G1070" s="13">
        <f>SUM(G1071)</f>
        <v>1.44</v>
      </c>
      <c r="H1070" s="13">
        <f t="shared" ref="H1070:I1070" si="626">SUM(H1071)</f>
        <v>0.87</v>
      </c>
      <c r="I1070" s="13">
        <f t="shared" si="626"/>
        <v>0.3</v>
      </c>
    </row>
    <row r="1071" spans="1:9" ht="72" x14ac:dyDescent="0.25">
      <c r="A1071" s="18">
        <f t="shared" si="625"/>
        <v>1059</v>
      </c>
      <c r="B1071" s="16" t="s">
        <v>737</v>
      </c>
      <c r="C1071" s="17" t="s">
        <v>736</v>
      </c>
      <c r="D1071" s="17" t="s">
        <v>755</v>
      </c>
      <c r="E1071" s="17" t="s">
        <v>738</v>
      </c>
      <c r="F1071" s="17"/>
      <c r="G1071" s="14">
        <f>SUM(G1072)</f>
        <v>1.44</v>
      </c>
      <c r="H1071" s="14">
        <f t="shared" ref="H1071:I1071" si="627">SUM(H1072)</f>
        <v>0.87</v>
      </c>
      <c r="I1071" s="14">
        <f t="shared" si="627"/>
        <v>0.3</v>
      </c>
    </row>
    <row r="1072" spans="1:9" ht="36" x14ac:dyDescent="0.25">
      <c r="A1072" s="18">
        <f t="shared" si="625"/>
        <v>1060</v>
      </c>
      <c r="B1072" s="16" t="s">
        <v>756</v>
      </c>
      <c r="C1072" s="17" t="s">
        <v>736</v>
      </c>
      <c r="D1072" s="17" t="s">
        <v>755</v>
      </c>
      <c r="E1072" s="17" t="s">
        <v>757</v>
      </c>
      <c r="F1072" s="17"/>
      <c r="G1072" s="14">
        <f>SUM(G1073)</f>
        <v>1.44</v>
      </c>
      <c r="H1072" s="14">
        <f t="shared" ref="H1072:I1072" si="628">SUM(H1073)</f>
        <v>0.87</v>
      </c>
      <c r="I1072" s="14">
        <f t="shared" si="628"/>
        <v>0.3</v>
      </c>
    </row>
    <row r="1073" spans="1:9" ht="144" x14ac:dyDescent="0.25">
      <c r="A1073" s="18">
        <f t="shared" si="625"/>
        <v>1061</v>
      </c>
      <c r="B1073" s="16" t="s">
        <v>758</v>
      </c>
      <c r="C1073" s="17" t="s">
        <v>736</v>
      </c>
      <c r="D1073" s="17" t="s">
        <v>755</v>
      </c>
      <c r="E1073" s="17" t="s">
        <v>759</v>
      </c>
      <c r="F1073" s="17"/>
      <c r="G1073" s="14">
        <f>SUM(G1074)</f>
        <v>1.44</v>
      </c>
      <c r="H1073" s="14">
        <f t="shared" ref="H1073:I1073" si="629">SUM(H1074)</f>
        <v>0.87</v>
      </c>
      <c r="I1073" s="14">
        <f t="shared" si="629"/>
        <v>0.3</v>
      </c>
    </row>
    <row r="1074" spans="1:9" ht="36" x14ac:dyDescent="0.25">
      <c r="A1074" s="18">
        <f t="shared" si="625"/>
        <v>1062</v>
      </c>
      <c r="B1074" s="16" t="s">
        <v>760</v>
      </c>
      <c r="C1074" s="17" t="s">
        <v>736</v>
      </c>
      <c r="D1074" s="17" t="s">
        <v>755</v>
      </c>
      <c r="E1074" s="17" t="s">
        <v>759</v>
      </c>
      <c r="F1074" s="17" t="s">
        <v>761</v>
      </c>
      <c r="G1074" s="14">
        <v>1.44</v>
      </c>
      <c r="H1074" s="14">
        <v>0.87</v>
      </c>
      <c r="I1074" s="14">
        <v>0.3</v>
      </c>
    </row>
    <row r="1075" spans="1:9" ht="18" x14ac:dyDescent="0.25">
      <c r="A1075" s="19">
        <f t="shared" si="625"/>
        <v>1063</v>
      </c>
      <c r="B1075" s="33" t="s">
        <v>762</v>
      </c>
      <c r="C1075" s="34"/>
      <c r="D1075" s="34"/>
      <c r="E1075" s="34"/>
      <c r="F1075" s="35"/>
      <c r="G1075" s="15">
        <f>SUM(G11+G683+G695+G909+G1013+G1030+G1044)</f>
        <v>3313516.2900000005</v>
      </c>
      <c r="H1075" s="15">
        <f>SUM(H11+H683+H695+H909+H1013+H1030+H1044)</f>
        <v>2770411.27</v>
      </c>
      <c r="I1075" s="15">
        <f>SUM(I11+I683+I695+I909+I1013+I1030+I1044)</f>
        <v>2696961.25</v>
      </c>
    </row>
  </sheetData>
  <mergeCells count="13">
    <mergeCell ref="B1075:F1075"/>
    <mergeCell ref="E1:I1"/>
    <mergeCell ref="A8:A9"/>
    <mergeCell ref="A6:I6"/>
    <mergeCell ref="E2:I2"/>
    <mergeCell ref="E3:I3"/>
    <mergeCell ref="E4:I4"/>
    <mergeCell ref="G8:I8"/>
    <mergeCell ref="B8:B9"/>
    <mergeCell ref="C8:C9"/>
    <mergeCell ref="D8:D9"/>
    <mergeCell ref="E8:E9"/>
    <mergeCell ref="F8:F9"/>
  </mergeCells>
  <pageMargins left="0.78740157480314965" right="0.78740157480314965" top="1.1811023622047245" bottom="0.39370078740157483" header="0.31496062992125984" footer="0.31496062992125984"/>
  <pageSetup paperSize="9" scale="85" firstPageNumber="118" fitToHeight="86" orientation="landscape" useFirstPageNumber="1" horizontalDpi="300" verticalDpi="300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I22"/>
  <sheetViews>
    <sheetView topLeftCell="C1" workbookViewId="0">
      <selection activeCell="G20" sqref="G20:I20"/>
    </sheetView>
  </sheetViews>
  <sheetFormatPr defaultRowHeight="15" x14ac:dyDescent="0.25"/>
  <cols>
    <col min="6" max="6" width="18.42578125" customWidth="1"/>
    <col min="7" max="7" width="20.85546875" customWidth="1"/>
    <col min="8" max="8" width="19.42578125" customWidth="1"/>
    <col min="9" max="9" width="21.7109375" customWidth="1"/>
  </cols>
  <sheetData>
    <row r="2" spans="6:9" ht="18" x14ac:dyDescent="0.25">
      <c r="F2" s="23"/>
      <c r="G2" s="23">
        <v>2024</v>
      </c>
      <c r="H2" s="23">
        <v>2025</v>
      </c>
      <c r="I2" s="23">
        <v>2026</v>
      </c>
    </row>
    <row r="3" spans="6:9" ht="18" x14ac:dyDescent="0.25">
      <c r="F3" s="24" t="s">
        <v>774</v>
      </c>
      <c r="G3" s="25">
        <f>SUM('Приложение №5'!G14+'Приложение №5'!G26+'Приложение №5'!G45+'Приложение №5'!G54)</f>
        <v>126776.23000000001</v>
      </c>
      <c r="H3" s="25">
        <f>SUM('Приложение №5'!H14+'Приложение №5'!H26+'Приложение №5'!H45+'Приложение №5'!H54)</f>
        <v>127836.22000000002</v>
      </c>
      <c r="I3" s="25">
        <f>SUM('Приложение №5'!I14+'Приложение №5'!I26+'Приложение №5'!I45+'Приложение №5'!I54)</f>
        <v>132539.29</v>
      </c>
    </row>
    <row r="4" spans="6:9" ht="18" x14ac:dyDescent="0.25">
      <c r="F4" s="24" t="s">
        <v>775</v>
      </c>
      <c r="G4" s="25">
        <f>SUM('Приложение №5'!G95+'Приложение №5'!G104+'Приложение №5'!G180+'Приложение №5'!G698)</f>
        <v>43420.679999999993</v>
      </c>
      <c r="H4" s="25">
        <f>SUM('Приложение №5'!H95+'Приложение №5'!H104+'Приложение №5'!H180+'Приложение №5'!H698)</f>
        <v>43363.789999999994</v>
      </c>
      <c r="I4" s="25">
        <f>SUM('Приложение №5'!I95+'Приложение №5'!I104+'Приложение №5'!I180+'Приложение №5'!I698)</f>
        <v>43795.869999999995</v>
      </c>
    </row>
    <row r="5" spans="6:9" ht="18" x14ac:dyDescent="0.25">
      <c r="F5" s="24" t="s">
        <v>776</v>
      </c>
      <c r="G5" s="25">
        <f>SUM('Приложение №5'!G244+'Приложение №5'!G277+'Приложение №5'!G307+'Приложение №5'!G742+'Приложение №5'!G925)</f>
        <v>227173.37000000005</v>
      </c>
      <c r="H5" s="25">
        <f>SUM('Приложение №5'!H244+'Приложение №5'!H277+'Приложение №5'!H307+'Приложение №5'!H742+'Приложение №5'!H925)</f>
        <v>33441.99</v>
      </c>
      <c r="I5" s="25">
        <f>SUM('Приложение №5'!I244+'Приложение №5'!I277+'Приложение №5'!I307+'Приложение №5'!I742+'Приложение №5'!I925)</f>
        <v>8066.5</v>
      </c>
    </row>
    <row r="6" spans="6:9" ht="18" x14ac:dyDescent="0.25">
      <c r="F6" s="24" t="s">
        <v>777</v>
      </c>
      <c r="G6" s="25">
        <f>SUM('Приложение №5'!G193+'Приложение №5'!G200)</f>
        <v>316974.72000000003</v>
      </c>
      <c r="H6" s="25">
        <f>SUM('Приложение №5'!H193+'Приложение №5'!H200)</f>
        <v>95877.900000000009</v>
      </c>
      <c r="I6" s="25">
        <f>SUM('Приложение №5'!I193+'Приложение №5'!I200)</f>
        <v>65462.1</v>
      </c>
    </row>
    <row r="7" spans="6:9" ht="18" x14ac:dyDescent="0.25">
      <c r="F7" s="24" t="s">
        <v>778</v>
      </c>
      <c r="G7" s="25">
        <f>SUM('Приложение №5'!G161+'Приложение №5'!G294+'Приложение №5'!G318+'Приложение №5'!G377+'Приложение №5'!G427+'Приложение №5'!G455+'Приложение №5'!G460+'Приложение №5'!G469)</f>
        <v>291433.40999999992</v>
      </c>
      <c r="H7" s="25">
        <f>SUM('Приложение №5'!H161+'Приложение №5'!H294+'Приложение №5'!H318+'Приложение №5'!H377+'Приложение №5'!H427+'Приложение №5'!H455+'Приложение №5'!H460+'Приложение №5'!H469)</f>
        <v>428448.09</v>
      </c>
      <c r="I7" s="25">
        <f>SUM('Приложение №5'!I161+'Приложение №5'!I294+'Приложение №5'!I318+'Приложение №5'!I377+'Приложение №5'!I427+'Приложение №5'!I455+'Приложение №5'!I460+'Приложение №5'!I469)</f>
        <v>226717.55000000002</v>
      </c>
    </row>
    <row r="8" spans="6:9" ht="18" x14ac:dyDescent="0.25">
      <c r="F8" s="24" t="s">
        <v>779</v>
      </c>
      <c r="G8" s="25">
        <f>SUM('Приложение №5'!G67+'Приложение №5'!G250+'Приложение №5'!G535+'Приложение №5'!G593+'Приложение №5'!G691+'Приложение №5'!G169+'Приложение №5'!G188+'Приложение №5'!G827)</f>
        <v>53218.04</v>
      </c>
      <c r="H8" s="25">
        <f>SUM('Приложение №5'!H67+'Приложение №5'!H250+'Приложение №5'!H535+'Приложение №5'!H593+'Приложение №5'!H691+'Приложение №5'!H169+'Приложение №5'!H188+'Приложение №5'!H827)</f>
        <v>10801.51</v>
      </c>
      <c r="I8" s="25">
        <f>SUM('Приложение №5'!I67+'Приложение №5'!I250+'Приложение №5'!I535+'Приложение №5'!I593+'Приложение №5'!I691+'Приложение №5'!I169+'Приложение №5'!I188+'Приложение №5'!I827)</f>
        <v>6787.0599999999995</v>
      </c>
    </row>
    <row r="9" spans="6:9" ht="18" x14ac:dyDescent="0.25">
      <c r="F9" s="24" t="s">
        <v>780</v>
      </c>
      <c r="G9" s="25">
        <f>'Приложение №5'!G711+'Приложение №5'!G746+'Приложение №5'!G801+'Приложение №5'!G831+'Приложение №5'!G878+'Приложение №5'!G884+'Приложение №5'!G892+'Приложение №5'!G905+'Приложение №5'!G525</f>
        <v>1491496.78</v>
      </c>
      <c r="H9" s="25">
        <f>'Приложение №5'!H711+'Приложение №5'!H746+'Приложение №5'!H801+'Приложение №5'!H831+'Приложение №5'!H878+'Приложение №5'!H884+'Приложение №5'!H892+'Приложение №5'!H905+'Приложение №5'!H525</f>
        <v>1435155.4099999997</v>
      </c>
      <c r="I9" s="25">
        <f>'Приложение №5'!I711+'Приложение №5'!I746+'Приложение №5'!I801+'Приложение №5'!I831+'Приложение №5'!I878+'Приложение №5'!I884+'Приложение №5'!I892+'Приложение №5'!I905+'Приложение №5'!I525</f>
        <v>1516119.87</v>
      </c>
    </row>
    <row r="10" spans="6:9" ht="18" x14ac:dyDescent="0.25">
      <c r="F10" s="24" t="s">
        <v>781</v>
      </c>
      <c r="G10" s="25">
        <f>SUM('Приложение №5'!G917+'Приложение №5'!G931+'Приложение №5'!G946+'Приложение №5'!G986)</f>
        <v>219732.05</v>
      </c>
      <c r="H10" s="25">
        <f>SUM('Приложение №5'!H917+'Приложение №5'!H931+'Приложение №5'!H946+'Приложение №5'!H986)</f>
        <v>219955.47</v>
      </c>
      <c r="I10" s="25">
        <f>SUM('Приложение №5'!I917+'Приложение №5'!I931+'Приложение №5'!I946+'Приложение №5'!I986)</f>
        <v>223955.53000000003</v>
      </c>
    </row>
    <row r="11" spans="6:9" ht="18" x14ac:dyDescent="0.25">
      <c r="F11" s="24" t="s">
        <v>782</v>
      </c>
      <c r="G11" s="25">
        <f>SUM('Приложение №5'!G84+'Приложение №5'!G137+'Приложение №5'!G237+'Приложение №5'!G482+'Приложение №5'!G541+'Приложение №5'!G667+'Приложение №5'!G674+'Приложение №5'!G679+'Приложение №5'!G732+'Приложение №5'!G788+'Приложение №5'!G815+'Приложение №5'!G996+'Приложение №5'!G1006)</f>
        <v>22236.839999999997</v>
      </c>
      <c r="H11" s="25">
        <f>SUM('Приложение №5'!H84+'Приложение №5'!H137+'Приложение №5'!H237+'Приложение №5'!H482+'Приложение №5'!H541+'Приложение №5'!H667+'Приложение №5'!H674+'Приложение №5'!H679+'Приложение №5'!H732+'Приложение №5'!H788+'Приложение №5'!H815+'Приложение №5'!H996+'Приложение №5'!H1006)</f>
        <v>8774.1500000000015</v>
      </c>
      <c r="I11" s="25">
        <f>SUM('Приложение №5'!I84+'Приложение №5'!I137+'Приложение №5'!I237+'Приложение №5'!I482+'Приложение №5'!I541+'Приложение №5'!I667+'Приложение №5'!I674+'Приложение №5'!I679+'Приложение №5'!I732+'Приложение №5'!I788+'Приложение №5'!I815+'Приложение №5'!I996+'Приложение №5'!I1006)</f>
        <v>8905.06</v>
      </c>
    </row>
    <row r="12" spans="6:9" ht="18" x14ac:dyDescent="0.25">
      <c r="F12" s="24" t="s">
        <v>783</v>
      </c>
      <c r="G12" s="25">
        <f>SUM('Приложение №5'!G549+'Приложение №5'!G563+'Приложение №5'!G603)</f>
        <v>144178.22</v>
      </c>
      <c r="H12" s="25">
        <f>SUM('Приложение №5'!H549+'Приложение №5'!H563+'Приложение №5'!H603)</f>
        <v>147018.65999999997</v>
      </c>
      <c r="I12" s="25">
        <f>SUM('Приложение №5'!I549+'Приложение №5'!I563+'Приложение №5'!I603)</f>
        <v>152649.68</v>
      </c>
    </row>
    <row r="13" spans="6:9" ht="18" x14ac:dyDescent="0.25">
      <c r="F13" s="24" t="s">
        <v>784</v>
      </c>
      <c r="G13" s="25">
        <f>SUM('Приложение №5'!G490+'Приложение №5'!G624+'Приложение №5'!G645+'Приложение №5'!G661)</f>
        <v>145258.22</v>
      </c>
      <c r="H13" s="25">
        <f>SUM('Приложение №5'!H490+'Приложение №5'!H624+'Приложение №5'!H645+'Приложение №5'!H661)</f>
        <v>141241.03</v>
      </c>
      <c r="I13" s="25">
        <f>SUM('Приложение №5'!I490+'Приложение №5'!I624+'Приложение №5'!I645+'Приложение №5'!I661)</f>
        <v>144289.79</v>
      </c>
    </row>
    <row r="14" spans="6:9" ht="18" x14ac:dyDescent="0.25">
      <c r="F14" s="24" t="s">
        <v>785</v>
      </c>
      <c r="G14" s="25">
        <f>SUM('Приложение №5'!G173+'Приложение №5'!G263+'Приложение №5'!G555+'Приложение №5'!G582+'Приложение №5'!G618+'Приложение №5'!G978+'Приложение №5'!G634)</f>
        <v>8775.73</v>
      </c>
      <c r="H14" s="25">
        <f>SUM('Приложение №5'!H173+'Приложение №5'!H263+'Приложение №5'!H555+'Приложение №5'!H582+'Приложение №5'!H618+'Приложение №5'!H978+'Приложение №5'!H634)</f>
        <v>7792.09</v>
      </c>
      <c r="I14" s="25">
        <f>SUM('Приложение №5'!I173+'Приложение №5'!I263+'Приложение №5'!I555+'Приложение №5'!I582+'Приложение №5'!I618+'Приложение №5'!I978+'Приложение №5'!I634)</f>
        <v>7869.3200000000006</v>
      </c>
    </row>
    <row r="15" spans="6:9" ht="18" x14ac:dyDescent="0.25">
      <c r="F15" s="24" t="s">
        <v>786</v>
      </c>
      <c r="G15" s="25">
        <f>SUM('Приложение №5'!G1047+'Приложение №5'!G1071)</f>
        <v>24154.3</v>
      </c>
      <c r="H15" s="25">
        <f>SUM('Приложение №5'!H1047+'Приложение №5'!H1071)</f>
        <v>25000.1</v>
      </c>
      <c r="I15" s="25">
        <f>SUM('Приложение №5'!I1047+'Приложение №5'!I1071)</f>
        <v>25895.799999999996</v>
      </c>
    </row>
    <row r="16" spans="6:9" ht="18" x14ac:dyDescent="0.25">
      <c r="F16" s="24" t="s">
        <v>787</v>
      </c>
      <c r="G16" s="25">
        <f>SUM('Приложение №5'!G407)</f>
        <v>100030.7</v>
      </c>
      <c r="H16" s="25">
        <f>SUM('Приложение №5'!H407)</f>
        <v>21367.489999999998</v>
      </c>
      <c r="I16" s="25">
        <f>SUM('Приложение №5'!I407)</f>
        <v>109384.92</v>
      </c>
    </row>
    <row r="17" spans="6:9" ht="18" x14ac:dyDescent="0.25">
      <c r="F17" s="24" t="s">
        <v>788</v>
      </c>
      <c r="G17" s="25">
        <f>SUM('Приложение №5'!G150+'Приложение №5'!G518+'Приложение №5'!G792+'Приложение №5'!G982+'Приложение №5'!G819)</f>
        <v>285</v>
      </c>
      <c r="H17" s="25">
        <f>SUM('Приложение №5'!H150+'Приложение №5'!H518+'Приложение №5'!H792+'Приложение №5'!H982+'Приложение №5'!H819)</f>
        <v>285</v>
      </c>
      <c r="I17" s="25">
        <f>SUM('Приложение №5'!I150+'Приложение №5'!I518+'Приложение №5'!I792+'Приложение №5'!I982+'Приложение №5'!I819)</f>
        <v>285</v>
      </c>
    </row>
    <row r="18" spans="6:9" ht="18" x14ac:dyDescent="0.25">
      <c r="F18" s="24" t="s">
        <v>792</v>
      </c>
      <c r="G18" s="25">
        <f>SUM('Приложение №5'!G155+'Приложение №5'!G706+'Приложение №5'!G912)</f>
        <v>617.48</v>
      </c>
      <c r="H18" s="25">
        <f>SUM('Приложение №5'!H155+'Приложение №5'!H706+'Приложение №5'!H912)</f>
        <v>20</v>
      </c>
      <c r="I18" s="25">
        <f>SUM('Приложение №5'!I155+'Приложение №5'!I706+'Приложение №5'!I912)</f>
        <v>20</v>
      </c>
    </row>
    <row r="19" spans="6:9" ht="18" x14ac:dyDescent="0.25">
      <c r="F19" s="24" t="s">
        <v>789</v>
      </c>
      <c r="G19" s="25">
        <f>SUM(G3:G18)</f>
        <v>3215761.77</v>
      </c>
      <c r="H19" s="25">
        <f t="shared" ref="H19:I19" si="0">SUM(H3:H18)</f>
        <v>2746378.9</v>
      </c>
      <c r="I19" s="25">
        <f t="shared" si="0"/>
        <v>2672743.3400000003</v>
      </c>
    </row>
    <row r="20" spans="6:9" ht="18" x14ac:dyDescent="0.25">
      <c r="F20" s="24" t="s">
        <v>790</v>
      </c>
      <c r="G20" s="25">
        <f>'Приложение №5'!G18+'Приложение №5'!G37+'Приложение №5'!G50+'Приложение №5'!G88+'Приложение №5'!G131+'Приложение №5'!G367+'Приложение №5'!G447+'Приложение №5'!G1016+'Приложение №5'!G1033+'Приложение №5'!G1062+'Приложение №5'!G686+'Приложение №5'!G869+'Приложение №5'!G184+'Приложение №5'!G423+'Приложение №5'!G477+'Приложение №5'!G521+'Приложение №5'!G559+'Приложение №5'!G588+'Приложение №5'!G640+'Приложение №5'!G657+'Приложение №5'!G941+'Приложение №5'!G991+'Приложение №5'!G1002+'Приложение №5'!G1010+'Приложение №5'!G737+'Приложение №5'!G796+'Приложение №5'!G822+'Приложение №5'!G901</f>
        <v>97754.520000000033</v>
      </c>
      <c r="H20" s="25">
        <f>'Приложение №5'!H18+'Приложение №5'!H37+'Приложение №5'!H50+'Приложение №5'!H88+'Приложение №5'!H131+'Приложение №5'!H367+'Приложение №5'!H447+'Приложение №5'!H1016+'Приложение №5'!H1033+'Приложение №5'!H1062+'Приложение №5'!H686+'Приложение №5'!H869+'Приложение №5'!H184+'Приложение №5'!H423+'Приложение №5'!H477+'Приложение №5'!H521+'Приложение №5'!H559+'Приложение №5'!H588+'Приложение №5'!H640+'Приложение №5'!H657+'Приложение №5'!H941+'Приложение №5'!H991+'Приложение №5'!H1002+'Приложение №5'!H1010+'Приложение №5'!H737+'Приложение №5'!H796+'Приложение №5'!H822+'Приложение №5'!H901</f>
        <v>24032.370000000003</v>
      </c>
      <c r="I20" s="25">
        <f>'Приложение №5'!I18+'Приложение №5'!I37+'Приложение №5'!I50+'Приложение №5'!I88+'Приложение №5'!I131+'Приложение №5'!I367+'Приложение №5'!I447+'Приложение №5'!I1016+'Приложение №5'!I1033+'Приложение №5'!I1062+'Приложение №5'!I686+'Приложение №5'!I869+'Приложение №5'!I184+'Приложение №5'!I423+'Приложение №5'!I477+'Приложение №5'!I521+'Приложение №5'!I559+'Приложение №5'!I588+'Приложение №5'!I640+'Приложение №5'!I657+'Приложение №5'!I941+'Приложение №5'!I991+'Приложение №5'!I1002+'Приложение №5'!I1010+'Приложение №5'!I737+'Приложение №5'!I796+'Приложение №5'!I822+'Приложение №5'!I901</f>
        <v>24217.910000000003</v>
      </c>
    </row>
    <row r="21" spans="6:9" ht="18" x14ac:dyDescent="0.25">
      <c r="F21" s="24" t="s">
        <v>791</v>
      </c>
      <c r="G21" s="25">
        <f>SUM(G19+G20)</f>
        <v>3313516.29</v>
      </c>
      <c r="H21" s="25">
        <f t="shared" ref="H21:I21" si="1">SUM(H19+H20)</f>
        <v>2770411.27</v>
      </c>
      <c r="I21" s="25">
        <f t="shared" si="1"/>
        <v>2696961.2500000005</v>
      </c>
    </row>
    <row r="22" spans="6:9" x14ac:dyDescent="0.25">
      <c r="G22" s="22"/>
      <c r="H22" s="22"/>
      <c r="I22" s="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№5</vt:lpstr>
      <vt:lpstr>Лист2</vt:lpstr>
      <vt:lpstr>Лист3</vt:lpstr>
      <vt:lpstr>'Приложение №5'!Область_печати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Nadegda A. Alexandrova</cp:lastModifiedBy>
  <cp:lastPrinted>2024-09-19T10:54:52Z</cp:lastPrinted>
  <dcterms:created xsi:type="dcterms:W3CDTF">2023-11-12T11:19:12Z</dcterms:created>
  <dcterms:modified xsi:type="dcterms:W3CDTF">2024-09-26T02:53:17Z</dcterms:modified>
</cp:coreProperties>
</file>