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9750"/>
  </bookViews>
  <sheets>
    <sheet name="Приложение №4" sheetId="1" r:id="rId1"/>
    <sheet name="Лист2" sheetId="2" r:id="rId2"/>
    <sheet name="Лист3" sheetId="3" r:id="rId3"/>
  </sheets>
  <definedNames>
    <definedName name="_xlnm._FilterDatabase" localSheetId="0" hidden="1">'Приложение №4'!$A$10:$H$918</definedName>
  </definedNames>
  <calcPr calcId="145621"/>
</workbook>
</file>

<file path=xl/calcChain.xml><?xml version="1.0" encoding="utf-8"?>
<calcChain xmlns="http://schemas.openxmlformats.org/spreadsheetml/2006/main">
  <c r="F563" i="1" l="1"/>
  <c r="F560" i="1"/>
  <c r="F44" i="1"/>
  <c r="F43" i="1"/>
  <c r="G746" i="1" l="1"/>
  <c r="H746" i="1"/>
  <c r="F746" i="1"/>
  <c r="G706" i="1"/>
  <c r="G705" i="1" s="1"/>
  <c r="H706" i="1"/>
  <c r="H705" i="1" s="1"/>
  <c r="F706" i="1"/>
  <c r="F705" i="1" s="1"/>
  <c r="G667" i="1"/>
  <c r="G666" i="1" s="1"/>
  <c r="G665" i="1" s="1"/>
  <c r="H667" i="1"/>
  <c r="H666" i="1" s="1"/>
  <c r="H665" i="1" s="1"/>
  <c r="F667" i="1"/>
  <c r="F666" i="1" s="1"/>
  <c r="F665" i="1" s="1"/>
  <c r="F688" i="1"/>
  <c r="F687" i="1"/>
  <c r="F686" i="1"/>
  <c r="F574" i="1"/>
  <c r="F573" i="1"/>
  <c r="F555" i="1"/>
  <c r="F554" i="1"/>
  <c r="F549" i="1"/>
  <c r="F548" i="1"/>
  <c r="F531" i="1"/>
  <c r="F523" i="1"/>
  <c r="F518" i="1"/>
  <c r="F517" i="1"/>
  <c r="G194" i="1"/>
  <c r="H194" i="1"/>
  <c r="F194" i="1"/>
  <c r="F124" i="1"/>
  <c r="F863" i="1"/>
  <c r="F865" i="1"/>
  <c r="F768" i="1"/>
  <c r="F469" i="1"/>
  <c r="F474" i="1"/>
  <c r="F456" i="1"/>
  <c r="F443" i="1"/>
  <c r="F383" i="1"/>
  <c r="F388" i="1"/>
  <c r="F386" i="1"/>
  <c r="G366" i="1"/>
  <c r="F366" i="1"/>
  <c r="G253" i="1"/>
  <c r="G257" i="1"/>
  <c r="G353" i="1"/>
  <c r="G354" i="1"/>
  <c r="G361" i="1" l="1"/>
  <c r="H361" i="1"/>
  <c r="F361" i="1"/>
  <c r="G359" i="1"/>
  <c r="H359" i="1"/>
  <c r="F359" i="1"/>
  <c r="F354" i="1"/>
  <c r="F346" i="1"/>
  <c r="G333" i="1"/>
  <c r="H333" i="1"/>
  <c r="F336" i="1"/>
  <c r="F335" i="1"/>
  <c r="F333" i="1" s="1"/>
  <c r="F332" i="1"/>
  <c r="F331" i="1"/>
  <c r="F299" i="1"/>
  <c r="F297" i="1"/>
  <c r="F284" i="1"/>
  <c r="F282" i="1"/>
  <c r="F251" i="1"/>
  <c r="F263" i="1"/>
  <c r="F259" i="1"/>
  <c r="F238" i="1"/>
  <c r="F231" i="1"/>
  <c r="F192" i="1"/>
  <c r="F193" i="1"/>
  <c r="F180" i="1"/>
  <c r="F142" i="1"/>
  <c r="F141" i="1"/>
  <c r="F109" i="1"/>
  <c r="F117" i="1"/>
  <c r="G84" i="1"/>
  <c r="H84" i="1"/>
  <c r="F84" i="1"/>
  <c r="G50" i="1"/>
  <c r="H50" i="1"/>
  <c r="F50" i="1"/>
  <c r="G20" i="1"/>
  <c r="H20" i="1"/>
  <c r="F20" i="1"/>
  <c r="G393" i="1" l="1"/>
  <c r="H393" i="1"/>
  <c r="F290" i="1"/>
  <c r="F717" i="1" l="1"/>
  <c r="F701" i="1"/>
  <c r="F564" i="1"/>
  <c r="F534" i="1"/>
  <c r="F149" i="1" l="1"/>
  <c r="F799" i="1"/>
  <c r="F800" i="1"/>
  <c r="F155" i="1"/>
  <c r="F156" i="1"/>
  <c r="F340" i="1"/>
  <c r="F243" i="1"/>
  <c r="F245" i="1"/>
  <c r="F249" i="1"/>
  <c r="F147" i="1"/>
  <c r="F115" i="1"/>
  <c r="F167" i="1"/>
  <c r="F530" i="1" l="1"/>
  <c r="F407" i="1" l="1"/>
  <c r="F408" i="1"/>
  <c r="F679" i="1" l="1"/>
  <c r="F678" i="1"/>
  <c r="F680" i="1" l="1"/>
  <c r="G374" i="1" l="1"/>
  <c r="G739" i="1"/>
  <c r="F730" i="1"/>
  <c r="F729" i="1"/>
  <c r="F742" i="1" l="1"/>
  <c r="G740" i="1"/>
  <c r="H740" i="1"/>
  <c r="F740" i="1"/>
  <c r="F739" i="1"/>
  <c r="G698" i="1"/>
  <c r="H698" i="1"/>
  <c r="F698" i="1"/>
  <c r="F704" i="1"/>
  <c r="F528" i="1"/>
  <c r="F527" i="1"/>
  <c r="F638" i="1"/>
  <c r="F642" i="1"/>
  <c r="F476" i="1"/>
  <c r="G486" i="1"/>
  <c r="G485" i="1" s="1"/>
  <c r="H486" i="1"/>
  <c r="H485" i="1" s="1"/>
  <c r="F486" i="1"/>
  <c r="F485" i="1" s="1"/>
  <c r="F461" i="1"/>
  <c r="F374" i="1"/>
  <c r="F368" i="1"/>
  <c r="F288" i="1"/>
  <c r="F277" i="1"/>
  <c r="F184" i="1"/>
  <c r="G125" i="1"/>
  <c r="H125" i="1"/>
  <c r="F125" i="1"/>
  <c r="F107" i="1"/>
  <c r="G82" i="1"/>
  <c r="H82" i="1"/>
  <c r="F82" i="1"/>
  <c r="F49" i="1"/>
  <c r="G33" i="1"/>
  <c r="H33" i="1"/>
  <c r="F33" i="1"/>
  <c r="F275" i="1" l="1"/>
  <c r="F358" i="1" l="1"/>
  <c r="G868" i="1" l="1"/>
  <c r="H868" i="1"/>
  <c r="F868" i="1"/>
  <c r="F860" i="1"/>
  <c r="F72" i="1"/>
  <c r="G854" i="1"/>
  <c r="G853" i="1" s="1"/>
  <c r="H854" i="1"/>
  <c r="H853" i="1" s="1"/>
  <c r="F854" i="1"/>
  <c r="F853" i="1" s="1"/>
  <c r="G821" i="1"/>
  <c r="H821" i="1"/>
  <c r="F821" i="1"/>
  <c r="F777" i="1"/>
  <c r="F713" i="1"/>
  <c r="F646" i="1"/>
  <c r="F606" i="1"/>
  <c r="F603" i="1"/>
  <c r="F602" i="1"/>
  <c r="G477" i="1"/>
  <c r="H477" i="1"/>
  <c r="F477" i="1"/>
  <c r="F451" i="1"/>
  <c r="F395" i="1"/>
  <c r="F393" i="1" s="1"/>
  <c r="F326" i="1"/>
  <c r="F328" i="1"/>
  <c r="G330" i="1"/>
  <c r="H330" i="1"/>
  <c r="F330" i="1"/>
  <c r="G713" i="1"/>
  <c r="G288" i="1"/>
  <c r="G266" i="1"/>
  <c r="H266" i="1"/>
  <c r="F266" i="1"/>
  <c r="G133" i="1"/>
  <c r="H133" i="1"/>
  <c r="F133" i="1"/>
  <c r="F132" i="1"/>
  <c r="F89" i="1"/>
  <c r="F46" i="1"/>
  <c r="G48" i="1"/>
  <c r="H48" i="1"/>
  <c r="F48" i="1"/>
  <c r="F47" i="1" s="1"/>
  <c r="G18" i="1"/>
  <c r="G17" i="1" s="1"/>
  <c r="H18" i="1"/>
  <c r="H17" i="1" s="1"/>
  <c r="F18" i="1"/>
  <c r="F17" i="1" s="1"/>
  <c r="G47" i="1" l="1"/>
  <c r="G35" i="1" s="1"/>
  <c r="H47" i="1"/>
  <c r="H35" i="1" s="1"/>
  <c r="F675" i="1"/>
  <c r="G675" i="1"/>
  <c r="H675" i="1"/>
  <c r="F152" i="1" l="1"/>
  <c r="G870" i="1" l="1"/>
  <c r="H870" i="1"/>
  <c r="F870" i="1"/>
  <c r="G813" i="1"/>
  <c r="G777" i="1"/>
  <c r="G638" i="1"/>
  <c r="G622" i="1"/>
  <c r="G621" i="1" s="1"/>
  <c r="H622" i="1"/>
  <c r="H621" i="1" s="1"/>
  <c r="F622" i="1"/>
  <c r="F621" i="1" s="1"/>
  <c r="G589" i="1"/>
  <c r="H589" i="1"/>
  <c r="F591" i="1"/>
  <c r="F589" i="1" s="1"/>
  <c r="F569" i="1"/>
  <c r="G565" i="1"/>
  <c r="H565" i="1"/>
  <c r="F565" i="1"/>
  <c r="F580" i="1"/>
  <c r="F579" i="1"/>
  <c r="F558" i="1"/>
  <c r="F557" i="1"/>
  <c r="F552" i="1"/>
  <c r="F551" i="1"/>
  <c r="G689" i="1"/>
  <c r="H689" i="1"/>
  <c r="F689" i="1"/>
  <c r="G691" i="1"/>
  <c r="H691" i="1"/>
  <c r="F691" i="1"/>
  <c r="F682" i="1"/>
  <c r="F681" i="1" s="1"/>
  <c r="G681" i="1"/>
  <c r="H681" i="1"/>
  <c r="F685" i="1"/>
  <c r="G685" i="1"/>
  <c r="H685" i="1"/>
  <c r="F317" i="1"/>
  <c r="F484" i="1"/>
  <c r="F483" i="1"/>
  <c r="G413" i="1"/>
  <c r="H413" i="1"/>
  <c r="F413" i="1"/>
  <c r="G327" i="1"/>
  <c r="H327" i="1"/>
  <c r="F327" i="1"/>
  <c r="F325" i="1"/>
  <c r="G169" i="1"/>
  <c r="G168" i="1" s="1"/>
  <c r="H169" i="1"/>
  <c r="H168" i="1" s="1"/>
  <c r="F169" i="1"/>
  <c r="F168" i="1" s="1"/>
  <c r="G154" i="1"/>
  <c r="H154" i="1"/>
  <c r="F154" i="1"/>
  <c r="F867" i="1" l="1"/>
  <c r="F866" i="1" s="1"/>
  <c r="H867" i="1"/>
  <c r="H866" i="1" s="1"/>
  <c r="G867" i="1"/>
  <c r="G866" i="1" s="1"/>
  <c r="F677" i="1"/>
  <c r="F674" i="1" s="1"/>
  <c r="G415" i="1"/>
  <c r="H415" i="1"/>
  <c r="F415" i="1"/>
  <c r="H444" i="1" l="1"/>
  <c r="G444" i="1"/>
  <c r="F444" i="1"/>
  <c r="G815" i="1" l="1"/>
  <c r="H815" i="1"/>
  <c r="F815" i="1"/>
  <c r="F808" i="1" l="1"/>
  <c r="G671" i="1"/>
  <c r="G670" i="1" s="1"/>
  <c r="H671" i="1"/>
  <c r="H670" i="1" s="1"/>
  <c r="F671" i="1"/>
  <c r="F670" i="1" s="1"/>
  <c r="F455" i="1"/>
  <c r="G455" i="1"/>
  <c r="H455" i="1"/>
  <c r="H423" i="1" l="1"/>
  <c r="G423" i="1"/>
  <c r="H425" i="1"/>
  <c r="G425" i="1"/>
  <c r="G398" i="1"/>
  <c r="H398" i="1"/>
  <c r="F398" i="1"/>
  <c r="G396" i="1"/>
  <c r="H396" i="1"/>
  <c r="F396" i="1"/>
  <c r="G368" i="1"/>
  <c r="G376" i="1"/>
  <c r="G225" i="1"/>
  <c r="G224" i="1" s="1"/>
  <c r="G223" i="1" s="1"/>
  <c r="H225" i="1"/>
  <c r="H224" i="1" s="1"/>
  <c r="H223" i="1" s="1"/>
  <c r="F225" i="1"/>
  <c r="F224" i="1" s="1"/>
  <c r="F223" i="1" s="1"/>
  <c r="G209" i="1"/>
  <c r="G208" i="1" s="1"/>
  <c r="G207" i="1" s="1"/>
  <c r="H209" i="1"/>
  <c r="H208" i="1" s="1"/>
  <c r="H207" i="1" s="1"/>
  <c r="F209" i="1"/>
  <c r="F208" i="1" s="1"/>
  <c r="F207" i="1" s="1"/>
  <c r="G29" i="1"/>
  <c r="H29" i="1"/>
  <c r="F29" i="1"/>
  <c r="H222" i="1" l="1"/>
  <c r="G222" i="1"/>
  <c r="F222" i="1"/>
  <c r="G898" i="1"/>
  <c r="H898" i="1"/>
  <c r="F898" i="1"/>
  <c r="G900" i="1"/>
  <c r="H900" i="1"/>
  <c r="F900" i="1"/>
  <c r="G905" i="1"/>
  <c r="G904" i="1" s="1"/>
  <c r="G903" i="1" s="1"/>
  <c r="G902" i="1" s="1"/>
  <c r="H905" i="1"/>
  <c r="H904" i="1" s="1"/>
  <c r="H903" i="1" s="1"/>
  <c r="H902" i="1" s="1"/>
  <c r="F905" i="1"/>
  <c r="F904" i="1" s="1"/>
  <c r="F903" i="1" s="1"/>
  <c r="F902" i="1" s="1"/>
  <c r="G910" i="1"/>
  <c r="G909" i="1" s="1"/>
  <c r="G908" i="1" s="1"/>
  <c r="G907" i="1" s="1"/>
  <c r="H910" i="1"/>
  <c r="H909" i="1" s="1"/>
  <c r="H908" i="1" s="1"/>
  <c r="H907" i="1" s="1"/>
  <c r="F910" i="1"/>
  <c r="F909" i="1" s="1"/>
  <c r="F908" i="1" s="1"/>
  <c r="F907" i="1" s="1"/>
  <c r="G916" i="1"/>
  <c r="G915" i="1" s="1"/>
  <c r="G914" i="1" s="1"/>
  <c r="G913" i="1" s="1"/>
  <c r="G912" i="1" s="1"/>
  <c r="H916" i="1"/>
  <c r="H915" i="1" s="1"/>
  <c r="H914" i="1" s="1"/>
  <c r="H913" i="1" s="1"/>
  <c r="H912" i="1" s="1"/>
  <c r="F916" i="1"/>
  <c r="F915" i="1" s="1"/>
  <c r="F914" i="1" s="1"/>
  <c r="F913" i="1" s="1"/>
  <c r="F912" i="1" s="1"/>
  <c r="G849" i="1"/>
  <c r="H849" i="1"/>
  <c r="F849" i="1"/>
  <c r="G851" i="1"/>
  <c r="H851" i="1"/>
  <c r="F851" i="1"/>
  <c r="G858" i="1"/>
  <c r="H858" i="1"/>
  <c r="F858" i="1"/>
  <c r="G861" i="1"/>
  <c r="H861" i="1"/>
  <c r="F861" i="1"/>
  <c r="G864" i="1"/>
  <c r="H864" i="1"/>
  <c r="F864" i="1"/>
  <c r="G875" i="1"/>
  <c r="H875" i="1"/>
  <c r="F875" i="1"/>
  <c r="G877" i="1"/>
  <c r="H877" i="1"/>
  <c r="F877" i="1"/>
  <c r="G879" i="1"/>
  <c r="H879" i="1"/>
  <c r="F879" i="1"/>
  <c r="G881" i="1"/>
  <c r="H881" i="1"/>
  <c r="F881" i="1"/>
  <c r="G883" i="1"/>
  <c r="H883" i="1"/>
  <c r="F883" i="1"/>
  <c r="G888" i="1"/>
  <c r="G887" i="1" s="1"/>
  <c r="G886" i="1" s="1"/>
  <c r="H888" i="1"/>
  <c r="H887" i="1" s="1"/>
  <c r="H886" i="1" s="1"/>
  <c r="F888" i="1"/>
  <c r="F887" i="1" s="1"/>
  <c r="F886" i="1" s="1"/>
  <c r="G890" i="1"/>
  <c r="H890" i="1"/>
  <c r="F890" i="1"/>
  <c r="G892" i="1"/>
  <c r="H892" i="1"/>
  <c r="F892" i="1"/>
  <c r="G775" i="1"/>
  <c r="G774" i="1" s="1"/>
  <c r="G773" i="1" s="1"/>
  <c r="H775" i="1"/>
  <c r="H774" i="1" s="1"/>
  <c r="H773" i="1" s="1"/>
  <c r="F775" i="1"/>
  <c r="F774" i="1" s="1"/>
  <c r="F773" i="1" s="1"/>
  <c r="G781" i="1"/>
  <c r="G780" i="1" s="1"/>
  <c r="G779" i="1" s="1"/>
  <c r="G778" i="1" s="1"/>
  <c r="H781" i="1"/>
  <c r="H780" i="1" s="1"/>
  <c r="H779" i="1" s="1"/>
  <c r="H778" i="1" s="1"/>
  <c r="F781" i="1"/>
  <c r="F780" i="1" s="1"/>
  <c r="F779" i="1" s="1"/>
  <c r="F778" i="1" s="1"/>
  <c r="G786" i="1"/>
  <c r="H786" i="1"/>
  <c r="F786" i="1"/>
  <c r="G788" i="1"/>
  <c r="H788" i="1"/>
  <c r="F788" i="1"/>
  <c r="G792" i="1"/>
  <c r="H792" i="1"/>
  <c r="F792" i="1"/>
  <c r="G795" i="1"/>
  <c r="H795" i="1"/>
  <c r="F795" i="1"/>
  <c r="G798" i="1"/>
  <c r="H798" i="1"/>
  <c r="F798" i="1"/>
  <c r="G801" i="1"/>
  <c r="H801" i="1"/>
  <c r="F801" i="1"/>
  <c r="G805" i="1"/>
  <c r="H805" i="1"/>
  <c r="F805" i="1"/>
  <c r="G807" i="1"/>
  <c r="H807" i="1"/>
  <c r="F807" i="1"/>
  <c r="G828" i="1"/>
  <c r="H828" i="1"/>
  <c r="F828" i="1"/>
  <c r="G830" i="1"/>
  <c r="H830" i="1"/>
  <c r="F830" i="1"/>
  <c r="G832" i="1"/>
  <c r="H832" i="1"/>
  <c r="F832" i="1"/>
  <c r="G835" i="1"/>
  <c r="H835" i="1"/>
  <c r="F835" i="1"/>
  <c r="G838" i="1"/>
  <c r="H838" i="1"/>
  <c r="F838" i="1"/>
  <c r="G843" i="1"/>
  <c r="G842" i="1" s="1"/>
  <c r="G841" i="1" s="1"/>
  <c r="H843" i="1"/>
  <c r="H842" i="1" s="1"/>
  <c r="H841" i="1" s="1"/>
  <c r="F843" i="1"/>
  <c r="F842" i="1" s="1"/>
  <c r="F841" i="1" s="1"/>
  <c r="G812" i="1"/>
  <c r="G811" i="1" s="1"/>
  <c r="H812" i="1"/>
  <c r="H811" i="1" s="1"/>
  <c r="F812" i="1"/>
  <c r="F811" i="1" s="1"/>
  <c r="G817" i="1"/>
  <c r="G814" i="1" s="1"/>
  <c r="H817" i="1"/>
  <c r="H814" i="1" s="1"/>
  <c r="F817" i="1"/>
  <c r="F814" i="1" s="1"/>
  <c r="G823" i="1"/>
  <c r="H823" i="1"/>
  <c r="F823" i="1"/>
  <c r="G767" i="1"/>
  <c r="H767" i="1"/>
  <c r="F767" i="1"/>
  <c r="G769" i="1"/>
  <c r="H769" i="1"/>
  <c r="F769" i="1"/>
  <c r="G712" i="1"/>
  <c r="G711" i="1" s="1"/>
  <c r="G710" i="1" s="1"/>
  <c r="H712" i="1"/>
  <c r="H711" i="1" s="1"/>
  <c r="H710" i="1" s="1"/>
  <c r="F712" i="1"/>
  <c r="F711" i="1" s="1"/>
  <c r="F710" i="1" s="1"/>
  <c r="G716" i="1"/>
  <c r="G715" i="1" s="1"/>
  <c r="G714" i="1" s="1"/>
  <c r="H716" i="1"/>
  <c r="H715" i="1" s="1"/>
  <c r="H714" i="1" s="1"/>
  <c r="F716" i="1"/>
  <c r="F715" i="1" s="1"/>
  <c r="F714" i="1" s="1"/>
  <c r="G720" i="1"/>
  <c r="H720" i="1"/>
  <c r="F720" i="1"/>
  <c r="G722" i="1"/>
  <c r="H722" i="1"/>
  <c r="F722" i="1"/>
  <c r="G724" i="1"/>
  <c r="H724" i="1"/>
  <c r="F724" i="1"/>
  <c r="G726" i="1"/>
  <c r="H726" i="1"/>
  <c r="F726" i="1"/>
  <c r="G728" i="1"/>
  <c r="H728" i="1"/>
  <c r="F728" i="1"/>
  <c r="G731" i="1"/>
  <c r="H731" i="1"/>
  <c r="F731" i="1"/>
  <c r="G734" i="1"/>
  <c r="H734" i="1"/>
  <c r="F734" i="1"/>
  <c r="G736" i="1"/>
  <c r="H736" i="1"/>
  <c r="F736" i="1"/>
  <c r="G738" i="1"/>
  <c r="H738" i="1"/>
  <c r="F738" i="1"/>
  <c r="G742" i="1"/>
  <c r="H742" i="1"/>
  <c r="G744" i="1"/>
  <c r="H744" i="1"/>
  <c r="F744" i="1"/>
  <c r="G748" i="1"/>
  <c r="H748" i="1"/>
  <c r="F748" i="1"/>
  <c r="G752" i="1"/>
  <c r="G751" i="1" s="1"/>
  <c r="H752" i="1"/>
  <c r="H751" i="1" s="1"/>
  <c r="F752" i="1"/>
  <c r="F751" i="1" s="1"/>
  <c r="G755" i="1"/>
  <c r="G754" i="1" s="1"/>
  <c r="H755" i="1"/>
  <c r="H754" i="1" s="1"/>
  <c r="F755" i="1"/>
  <c r="F754" i="1" s="1"/>
  <c r="G760" i="1"/>
  <c r="G759" i="1" s="1"/>
  <c r="G758" i="1" s="1"/>
  <c r="G757" i="1" s="1"/>
  <c r="H760" i="1"/>
  <c r="H759" i="1" s="1"/>
  <c r="H758" i="1" s="1"/>
  <c r="H757" i="1" s="1"/>
  <c r="F760" i="1"/>
  <c r="F759" i="1" s="1"/>
  <c r="F758" i="1" s="1"/>
  <c r="F757" i="1" s="1"/>
  <c r="G516" i="1"/>
  <c r="H516" i="1"/>
  <c r="F516" i="1"/>
  <c r="G519" i="1"/>
  <c r="H519" i="1"/>
  <c r="F519" i="1"/>
  <c r="G522" i="1"/>
  <c r="H522" i="1"/>
  <c r="F522" i="1"/>
  <c r="G524" i="1"/>
  <c r="H524" i="1"/>
  <c r="F524" i="1"/>
  <c r="G526" i="1"/>
  <c r="H526" i="1"/>
  <c r="F526" i="1"/>
  <c r="G529" i="1"/>
  <c r="H529" i="1"/>
  <c r="F529" i="1"/>
  <c r="G532" i="1"/>
  <c r="H532" i="1"/>
  <c r="F532" i="1"/>
  <c r="G537" i="1"/>
  <c r="G536" i="1" s="1"/>
  <c r="G535" i="1" s="1"/>
  <c r="H537" i="1"/>
  <c r="H536" i="1" s="1"/>
  <c r="H535" i="1" s="1"/>
  <c r="F537" i="1"/>
  <c r="F536" i="1" s="1"/>
  <c r="F535" i="1" s="1"/>
  <c r="G543" i="1"/>
  <c r="G542" i="1" s="1"/>
  <c r="G541" i="1" s="1"/>
  <c r="H543" i="1"/>
  <c r="H542" i="1" s="1"/>
  <c r="H541" i="1" s="1"/>
  <c r="F543" i="1"/>
  <c r="F542" i="1" s="1"/>
  <c r="F541" i="1" s="1"/>
  <c r="G547" i="1"/>
  <c r="H547" i="1"/>
  <c r="F547" i="1"/>
  <c r="G550" i="1"/>
  <c r="H550" i="1"/>
  <c r="F550" i="1"/>
  <c r="G553" i="1"/>
  <c r="H553" i="1"/>
  <c r="F553" i="1"/>
  <c r="G556" i="1"/>
  <c r="H556" i="1"/>
  <c r="F556" i="1"/>
  <c r="G559" i="1"/>
  <c r="H559" i="1"/>
  <c r="F559" i="1"/>
  <c r="G562" i="1"/>
  <c r="H562" i="1"/>
  <c r="F562" i="1"/>
  <c r="G567" i="1"/>
  <c r="H567" i="1"/>
  <c r="F567" i="1"/>
  <c r="G570" i="1"/>
  <c r="H570" i="1"/>
  <c r="F570" i="1"/>
  <c r="G572" i="1"/>
  <c r="H572" i="1"/>
  <c r="F572" i="1"/>
  <c r="G575" i="1"/>
  <c r="H575" i="1"/>
  <c r="F575" i="1"/>
  <c r="G578" i="1"/>
  <c r="H578" i="1"/>
  <c r="F578" i="1"/>
  <c r="G581" i="1"/>
  <c r="H581" i="1"/>
  <c r="F581" i="1"/>
  <c r="G586" i="1"/>
  <c r="G585" i="1" s="1"/>
  <c r="G584" i="1" s="1"/>
  <c r="H586" i="1"/>
  <c r="H585" i="1" s="1"/>
  <c r="H584" i="1" s="1"/>
  <c r="F586" i="1"/>
  <c r="F585" i="1" s="1"/>
  <c r="F584" i="1" s="1"/>
  <c r="G588" i="1"/>
  <c r="H588" i="1"/>
  <c r="F588" i="1"/>
  <c r="G595" i="1"/>
  <c r="H595" i="1"/>
  <c r="F595" i="1"/>
  <c r="G598" i="1"/>
  <c r="H598" i="1"/>
  <c r="F598" i="1"/>
  <c r="G600" i="1"/>
  <c r="H600" i="1"/>
  <c r="F600" i="1"/>
  <c r="G605" i="1"/>
  <c r="G604" i="1" s="1"/>
  <c r="H605" i="1"/>
  <c r="H604" i="1" s="1"/>
  <c r="F605" i="1"/>
  <c r="F604" i="1" s="1"/>
  <c r="G609" i="1"/>
  <c r="H609" i="1"/>
  <c r="F609" i="1"/>
  <c r="G611" i="1"/>
  <c r="H611" i="1"/>
  <c r="F611" i="1"/>
  <c r="G613" i="1"/>
  <c r="H613" i="1"/>
  <c r="F613" i="1"/>
  <c r="G615" i="1"/>
  <c r="H615" i="1"/>
  <c r="F615" i="1"/>
  <c r="G619" i="1"/>
  <c r="G618" i="1" s="1"/>
  <c r="G617" i="1" s="1"/>
  <c r="H619" i="1"/>
  <c r="H618" i="1" s="1"/>
  <c r="H617" i="1" s="1"/>
  <c r="F619" i="1"/>
  <c r="F618" i="1" s="1"/>
  <c r="F617" i="1" s="1"/>
  <c r="G627" i="1"/>
  <c r="H627" i="1"/>
  <c r="F627" i="1"/>
  <c r="G629" i="1"/>
  <c r="H629" i="1"/>
  <c r="F629" i="1"/>
  <c r="G631" i="1"/>
  <c r="H631" i="1"/>
  <c r="F631" i="1"/>
  <c r="G635" i="1"/>
  <c r="H635" i="1"/>
  <c r="F635" i="1"/>
  <c r="G637" i="1"/>
  <c r="H637" i="1"/>
  <c r="F637" i="1"/>
  <c r="G639" i="1"/>
  <c r="H639" i="1"/>
  <c r="F639" i="1"/>
  <c r="G643" i="1"/>
  <c r="H643" i="1"/>
  <c r="F643" i="1"/>
  <c r="G645" i="1"/>
  <c r="H645" i="1"/>
  <c r="F645" i="1"/>
  <c r="G647" i="1"/>
  <c r="H647" i="1"/>
  <c r="F647" i="1"/>
  <c r="G649" i="1"/>
  <c r="H649" i="1"/>
  <c r="F649" i="1"/>
  <c r="G652" i="1"/>
  <c r="H652" i="1"/>
  <c r="F652" i="1"/>
  <c r="G654" i="1"/>
  <c r="H654" i="1"/>
  <c r="F654" i="1"/>
  <c r="G657" i="1"/>
  <c r="H657" i="1"/>
  <c r="F657" i="1"/>
  <c r="G659" i="1"/>
  <c r="H659" i="1"/>
  <c r="F659" i="1"/>
  <c r="G662" i="1"/>
  <c r="G661" i="1" s="1"/>
  <c r="H662" i="1"/>
  <c r="H661" i="1" s="1"/>
  <c r="F662" i="1"/>
  <c r="F661" i="1" s="1"/>
  <c r="G677" i="1"/>
  <c r="G674" i="1" s="1"/>
  <c r="H677" i="1"/>
  <c r="H674" i="1" s="1"/>
  <c r="G695" i="1"/>
  <c r="H695" i="1"/>
  <c r="F695" i="1"/>
  <c r="G700" i="1"/>
  <c r="H700" i="1"/>
  <c r="F700" i="1"/>
  <c r="G506" i="1"/>
  <c r="H506" i="1"/>
  <c r="F506" i="1"/>
  <c r="G508" i="1"/>
  <c r="H508" i="1"/>
  <c r="F508" i="1"/>
  <c r="G510" i="1"/>
  <c r="H510" i="1"/>
  <c r="F510" i="1"/>
  <c r="G497" i="1"/>
  <c r="H497" i="1"/>
  <c r="F497" i="1"/>
  <c r="G499" i="1"/>
  <c r="H499" i="1"/>
  <c r="F499" i="1"/>
  <c r="G501" i="1"/>
  <c r="H501" i="1"/>
  <c r="F501" i="1"/>
  <c r="G492" i="1"/>
  <c r="G491" i="1" s="1"/>
  <c r="G490" i="1" s="1"/>
  <c r="G489" i="1" s="1"/>
  <c r="H492" i="1"/>
  <c r="H491" i="1" s="1"/>
  <c r="H490" i="1" s="1"/>
  <c r="H489" i="1" s="1"/>
  <c r="F492" i="1"/>
  <c r="F491" i="1" s="1"/>
  <c r="F490" i="1" s="1"/>
  <c r="F489" i="1" s="1"/>
  <c r="G420" i="1"/>
  <c r="H420" i="1"/>
  <c r="F420" i="1"/>
  <c r="G422" i="1"/>
  <c r="H422" i="1"/>
  <c r="F422" i="1"/>
  <c r="G424" i="1"/>
  <c r="H424" i="1"/>
  <c r="F424" i="1"/>
  <c r="G427" i="1"/>
  <c r="H427" i="1"/>
  <c r="F427" i="1"/>
  <c r="G429" i="1"/>
  <c r="H429" i="1"/>
  <c r="F429" i="1"/>
  <c r="G431" i="1"/>
  <c r="H431" i="1"/>
  <c r="F431" i="1"/>
  <c r="G433" i="1"/>
  <c r="H433" i="1"/>
  <c r="F433" i="1"/>
  <c r="G435" i="1"/>
  <c r="H435" i="1"/>
  <c r="F435" i="1"/>
  <c r="G437" i="1"/>
  <c r="H437" i="1"/>
  <c r="F437" i="1"/>
  <c r="G439" i="1"/>
  <c r="H439" i="1"/>
  <c r="F439" i="1"/>
  <c r="G442" i="1"/>
  <c r="H442" i="1"/>
  <c r="F442" i="1"/>
  <c r="G446" i="1"/>
  <c r="H446" i="1"/>
  <c r="F446" i="1"/>
  <c r="G450" i="1"/>
  <c r="G449" i="1" s="1"/>
  <c r="H450" i="1"/>
  <c r="H449" i="1" s="1"/>
  <c r="F450" i="1"/>
  <c r="F449" i="1" s="1"/>
  <c r="G453" i="1"/>
  <c r="H453" i="1"/>
  <c r="F453" i="1"/>
  <c r="G458" i="1"/>
  <c r="H458" i="1"/>
  <c r="F458" i="1"/>
  <c r="G460" i="1"/>
  <c r="H460" i="1"/>
  <c r="F460" i="1"/>
  <c r="G462" i="1"/>
  <c r="H462" i="1"/>
  <c r="F462" i="1"/>
  <c r="G467" i="1"/>
  <c r="G466" i="1" s="1"/>
  <c r="H467" i="1"/>
  <c r="H466" i="1" s="1"/>
  <c r="F467" i="1"/>
  <c r="F466" i="1" s="1"/>
  <c r="G471" i="1"/>
  <c r="H471" i="1"/>
  <c r="F471" i="1"/>
  <c r="G473" i="1"/>
  <c r="H473" i="1"/>
  <c r="F473" i="1"/>
  <c r="G475" i="1"/>
  <c r="H475" i="1"/>
  <c r="F475" i="1"/>
  <c r="G480" i="1"/>
  <c r="H480" i="1"/>
  <c r="F480" i="1"/>
  <c r="G482" i="1"/>
  <c r="H482" i="1"/>
  <c r="F482" i="1"/>
  <c r="G352" i="1"/>
  <c r="H352" i="1"/>
  <c r="F352" i="1"/>
  <c r="G355" i="1"/>
  <c r="H355" i="1"/>
  <c r="F355" i="1"/>
  <c r="G357" i="1"/>
  <c r="H357" i="1"/>
  <c r="F357" i="1"/>
  <c r="G365" i="1"/>
  <c r="H365" i="1"/>
  <c r="F365" i="1"/>
  <c r="G367" i="1"/>
  <c r="H367" i="1"/>
  <c r="F367" i="1"/>
  <c r="G369" i="1"/>
  <c r="H369" i="1"/>
  <c r="F369" i="1"/>
  <c r="G371" i="1"/>
  <c r="H371" i="1"/>
  <c r="F371" i="1"/>
  <c r="G373" i="1"/>
  <c r="H373" i="1"/>
  <c r="F373" i="1"/>
  <c r="G375" i="1"/>
  <c r="H375" i="1"/>
  <c r="F375" i="1"/>
  <c r="G377" i="1"/>
  <c r="H377" i="1"/>
  <c r="F377" i="1"/>
  <c r="G379" i="1"/>
  <c r="H379" i="1"/>
  <c r="F379" i="1"/>
  <c r="G382" i="1"/>
  <c r="G381" i="1" s="1"/>
  <c r="H382" i="1"/>
  <c r="H381" i="1" s="1"/>
  <c r="F382" i="1"/>
  <c r="F381" i="1" s="1"/>
  <c r="G385" i="1"/>
  <c r="H385" i="1"/>
  <c r="F385" i="1"/>
  <c r="G387" i="1"/>
  <c r="H387" i="1"/>
  <c r="F387" i="1"/>
  <c r="G389" i="1"/>
  <c r="H389" i="1"/>
  <c r="F389" i="1"/>
  <c r="G391" i="1"/>
  <c r="H391" i="1"/>
  <c r="F391" i="1"/>
  <c r="G401" i="1"/>
  <c r="G400" i="1" s="1"/>
  <c r="H401" i="1"/>
  <c r="H400" i="1" s="1"/>
  <c r="F401" i="1"/>
  <c r="F400" i="1" s="1"/>
  <c r="G405" i="1"/>
  <c r="H405" i="1"/>
  <c r="F405" i="1"/>
  <c r="G407" i="1"/>
  <c r="H407" i="1"/>
  <c r="G411" i="1"/>
  <c r="G410" i="1" s="1"/>
  <c r="H411" i="1"/>
  <c r="H410" i="1" s="1"/>
  <c r="F411" i="1"/>
  <c r="F410" i="1" s="1"/>
  <c r="G322" i="1"/>
  <c r="H322" i="1"/>
  <c r="F322" i="1"/>
  <c r="G324" i="1"/>
  <c r="H324" i="1"/>
  <c r="F324" i="1"/>
  <c r="G339" i="1"/>
  <c r="H339" i="1"/>
  <c r="F339" i="1"/>
  <c r="G341" i="1"/>
  <c r="H341" i="1"/>
  <c r="F341" i="1"/>
  <c r="G343" i="1"/>
  <c r="H343" i="1"/>
  <c r="F343" i="1"/>
  <c r="G345" i="1"/>
  <c r="H345" i="1"/>
  <c r="F345" i="1"/>
  <c r="G347" i="1"/>
  <c r="H347" i="1"/>
  <c r="F347" i="1"/>
  <c r="G281" i="1"/>
  <c r="H281" i="1"/>
  <c r="F281" i="1"/>
  <c r="G283" i="1"/>
  <c r="H283" i="1"/>
  <c r="F283" i="1"/>
  <c r="G287" i="1"/>
  <c r="H287" i="1"/>
  <c r="F287" i="1"/>
  <c r="G289" i="1"/>
  <c r="H289" i="1"/>
  <c r="F289" i="1"/>
  <c r="G291" i="1"/>
  <c r="H291" i="1"/>
  <c r="F291" i="1"/>
  <c r="G293" i="1"/>
  <c r="H293" i="1"/>
  <c r="F293" i="1"/>
  <c r="G296" i="1"/>
  <c r="H296" i="1"/>
  <c r="F296" i="1"/>
  <c r="G298" i="1"/>
  <c r="H298" i="1"/>
  <c r="F298" i="1"/>
  <c r="G302" i="1"/>
  <c r="H302" i="1"/>
  <c r="F302" i="1"/>
  <c r="G304" i="1"/>
  <c r="H304" i="1"/>
  <c r="F304" i="1"/>
  <c r="G308" i="1"/>
  <c r="H308" i="1"/>
  <c r="F308" i="1"/>
  <c r="G310" i="1"/>
  <c r="H310" i="1"/>
  <c r="F310" i="1"/>
  <c r="G313" i="1"/>
  <c r="G312" i="1" s="1"/>
  <c r="H313" i="1"/>
  <c r="H312" i="1" s="1"/>
  <c r="F313" i="1"/>
  <c r="F312" i="1" s="1"/>
  <c r="G316" i="1"/>
  <c r="G315" i="1" s="1"/>
  <c r="H316" i="1"/>
  <c r="H315" i="1" s="1"/>
  <c r="F316" i="1"/>
  <c r="F315" i="1" s="1"/>
  <c r="G274" i="1"/>
  <c r="H274" i="1"/>
  <c r="F274" i="1"/>
  <c r="G276" i="1"/>
  <c r="H276" i="1"/>
  <c r="F276" i="1"/>
  <c r="G237" i="1"/>
  <c r="H237" i="1"/>
  <c r="F237" i="1"/>
  <c r="G239" i="1"/>
  <c r="H239" i="1"/>
  <c r="F239" i="1"/>
  <c r="G242" i="1"/>
  <c r="H242" i="1"/>
  <c r="F242" i="1"/>
  <c r="G244" i="1"/>
  <c r="H244" i="1"/>
  <c r="F244" i="1"/>
  <c r="G246" i="1"/>
  <c r="H246" i="1"/>
  <c r="F246" i="1"/>
  <c r="G248" i="1"/>
  <c r="H248" i="1"/>
  <c r="F248" i="1"/>
  <c r="G250" i="1"/>
  <c r="H250" i="1"/>
  <c r="F250" i="1"/>
  <c r="G252" i="1"/>
  <c r="H252" i="1"/>
  <c r="F252" i="1"/>
  <c r="G254" i="1"/>
  <c r="H254" i="1"/>
  <c r="F254" i="1"/>
  <c r="G256" i="1"/>
  <c r="H256" i="1"/>
  <c r="F256" i="1"/>
  <c r="G258" i="1"/>
  <c r="H258" i="1"/>
  <c r="F258" i="1"/>
  <c r="G260" i="1"/>
  <c r="H260" i="1"/>
  <c r="F260" i="1"/>
  <c r="G262" i="1"/>
  <c r="H262" i="1"/>
  <c r="F262" i="1"/>
  <c r="G264" i="1"/>
  <c r="H264" i="1"/>
  <c r="F264" i="1"/>
  <c r="G269" i="1"/>
  <c r="G268" i="1" s="1"/>
  <c r="H269" i="1"/>
  <c r="H268" i="1" s="1"/>
  <c r="F269" i="1"/>
  <c r="F268" i="1" s="1"/>
  <c r="G230" i="1"/>
  <c r="H230" i="1"/>
  <c r="F230" i="1"/>
  <c r="G232" i="1"/>
  <c r="H232" i="1"/>
  <c r="F232" i="1"/>
  <c r="G220" i="1"/>
  <c r="G219" i="1" s="1"/>
  <c r="G218" i="1" s="1"/>
  <c r="G217" i="1" s="1"/>
  <c r="H220" i="1"/>
  <c r="H219" i="1" s="1"/>
  <c r="H218" i="1" s="1"/>
  <c r="H217" i="1" s="1"/>
  <c r="F220" i="1"/>
  <c r="F219" i="1" s="1"/>
  <c r="F218" i="1" s="1"/>
  <c r="F217" i="1" s="1"/>
  <c r="G201" i="1"/>
  <c r="H201" i="1"/>
  <c r="F201" i="1"/>
  <c r="G204" i="1"/>
  <c r="H204" i="1"/>
  <c r="F204" i="1"/>
  <c r="G211" i="1"/>
  <c r="H211" i="1"/>
  <c r="F211" i="1"/>
  <c r="G213" i="1"/>
  <c r="H213" i="1"/>
  <c r="F213" i="1"/>
  <c r="G215" i="1"/>
  <c r="H215" i="1"/>
  <c r="F215" i="1"/>
  <c r="G174" i="1"/>
  <c r="G173" i="1" s="1"/>
  <c r="H174" i="1"/>
  <c r="H173" i="1" s="1"/>
  <c r="F174" i="1"/>
  <c r="F173" i="1" s="1"/>
  <c r="G177" i="1"/>
  <c r="H177" i="1"/>
  <c r="F177" i="1"/>
  <c r="G179" i="1"/>
  <c r="H179" i="1"/>
  <c r="F179" i="1"/>
  <c r="G181" i="1"/>
  <c r="H181" i="1"/>
  <c r="F181" i="1"/>
  <c r="G183" i="1"/>
  <c r="H183" i="1"/>
  <c r="F183" i="1"/>
  <c r="G186" i="1"/>
  <c r="H186" i="1"/>
  <c r="F186" i="1"/>
  <c r="G188" i="1"/>
  <c r="H188" i="1"/>
  <c r="F188" i="1"/>
  <c r="G191" i="1"/>
  <c r="H191" i="1"/>
  <c r="F191" i="1"/>
  <c r="G140" i="1"/>
  <c r="H140" i="1"/>
  <c r="F140" i="1"/>
  <c r="G144" i="1"/>
  <c r="H144" i="1"/>
  <c r="F144" i="1"/>
  <c r="G146" i="1"/>
  <c r="H146" i="1"/>
  <c r="F146" i="1"/>
  <c r="G148" i="1"/>
  <c r="H148" i="1"/>
  <c r="F148" i="1"/>
  <c r="G151" i="1"/>
  <c r="H151" i="1"/>
  <c r="F151" i="1"/>
  <c r="G157" i="1"/>
  <c r="H157" i="1"/>
  <c r="F157" i="1"/>
  <c r="G159" i="1"/>
  <c r="H159" i="1"/>
  <c r="F159" i="1"/>
  <c r="G161" i="1"/>
  <c r="H161" i="1"/>
  <c r="F161" i="1"/>
  <c r="G163" i="1"/>
  <c r="H163" i="1"/>
  <c r="F163" i="1"/>
  <c r="G166" i="1"/>
  <c r="G165" i="1" s="1"/>
  <c r="H166" i="1"/>
  <c r="H165" i="1" s="1"/>
  <c r="F166" i="1"/>
  <c r="F165" i="1" s="1"/>
  <c r="G131" i="1"/>
  <c r="H131" i="1"/>
  <c r="F131" i="1"/>
  <c r="G135" i="1"/>
  <c r="H135" i="1"/>
  <c r="F135" i="1"/>
  <c r="G123" i="1"/>
  <c r="G122" i="1" s="1"/>
  <c r="H123" i="1"/>
  <c r="H122" i="1" s="1"/>
  <c r="F123" i="1"/>
  <c r="F122" i="1" s="1"/>
  <c r="G120" i="1"/>
  <c r="G119" i="1" s="1"/>
  <c r="G118" i="1" s="1"/>
  <c r="H120" i="1"/>
  <c r="H119" i="1" s="1"/>
  <c r="H118" i="1" s="1"/>
  <c r="F120" i="1"/>
  <c r="F119" i="1" s="1"/>
  <c r="F118" i="1" s="1"/>
  <c r="G106" i="1"/>
  <c r="H106" i="1"/>
  <c r="F106" i="1"/>
  <c r="G108" i="1"/>
  <c r="H108" i="1"/>
  <c r="F108" i="1"/>
  <c r="G110" i="1"/>
  <c r="H110" i="1"/>
  <c r="F110" i="1"/>
  <c r="G112" i="1"/>
  <c r="H112" i="1"/>
  <c r="F112" i="1"/>
  <c r="G114" i="1"/>
  <c r="H114" i="1"/>
  <c r="F114" i="1"/>
  <c r="G116" i="1"/>
  <c r="H116" i="1"/>
  <c r="F116" i="1"/>
  <c r="G96" i="1"/>
  <c r="H96" i="1"/>
  <c r="F96" i="1"/>
  <c r="G98" i="1"/>
  <c r="H98" i="1"/>
  <c r="F98" i="1"/>
  <c r="G100" i="1"/>
  <c r="H100" i="1"/>
  <c r="F100" i="1"/>
  <c r="G102" i="1"/>
  <c r="H102" i="1"/>
  <c r="F102" i="1"/>
  <c r="G93" i="1"/>
  <c r="G92" i="1" s="1"/>
  <c r="H93" i="1"/>
  <c r="H92" i="1" s="1"/>
  <c r="F93" i="1"/>
  <c r="F92" i="1" s="1"/>
  <c r="G88" i="1"/>
  <c r="G87" i="1" s="1"/>
  <c r="G86" i="1" s="1"/>
  <c r="H88" i="1"/>
  <c r="H87" i="1" s="1"/>
  <c r="H86" i="1" s="1"/>
  <c r="F88" i="1"/>
  <c r="F87" i="1" s="1"/>
  <c r="F86" i="1" s="1"/>
  <c r="G60" i="1"/>
  <c r="H60" i="1"/>
  <c r="F60" i="1"/>
  <c r="G62" i="1"/>
  <c r="H62" i="1"/>
  <c r="F62" i="1"/>
  <c r="G65" i="1"/>
  <c r="H65" i="1"/>
  <c r="F65" i="1"/>
  <c r="G68" i="1"/>
  <c r="H68" i="1"/>
  <c r="F68" i="1"/>
  <c r="G71" i="1"/>
  <c r="H71" i="1"/>
  <c r="F71" i="1"/>
  <c r="G74" i="1"/>
  <c r="H74" i="1"/>
  <c r="F74" i="1"/>
  <c r="G77" i="1"/>
  <c r="H77" i="1"/>
  <c r="F77" i="1"/>
  <c r="G79" i="1"/>
  <c r="H79" i="1"/>
  <c r="F79" i="1"/>
  <c r="G55" i="1"/>
  <c r="G54" i="1" s="1"/>
  <c r="G53" i="1" s="1"/>
  <c r="G52" i="1" s="1"/>
  <c r="H55" i="1"/>
  <c r="H54" i="1" s="1"/>
  <c r="H53" i="1" s="1"/>
  <c r="H52" i="1" s="1"/>
  <c r="F55" i="1"/>
  <c r="F54" i="1" s="1"/>
  <c r="F53" i="1" s="1"/>
  <c r="F52" i="1" s="1"/>
  <c r="G38" i="1"/>
  <c r="G37" i="1" s="1"/>
  <c r="H38" i="1"/>
  <c r="H37" i="1" s="1"/>
  <c r="F38" i="1"/>
  <c r="F37" i="1" s="1"/>
  <c r="G42" i="1"/>
  <c r="G41" i="1" s="1"/>
  <c r="H42" i="1"/>
  <c r="H41" i="1" s="1"/>
  <c r="F42" i="1"/>
  <c r="F41" i="1" s="1"/>
  <c r="G24" i="1"/>
  <c r="H24" i="1"/>
  <c r="F24" i="1"/>
  <c r="G26" i="1"/>
  <c r="H26" i="1"/>
  <c r="F26" i="1"/>
  <c r="G15" i="1"/>
  <c r="G14" i="1" s="1"/>
  <c r="G13" i="1" s="1"/>
  <c r="G12" i="1" s="1"/>
  <c r="H15" i="1"/>
  <c r="H14" i="1" s="1"/>
  <c r="H13" i="1" s="1"/>
  <c r="H12" i="1" s="1"/>
  <c r="F15" i="1"/>
  <c r="F14" i="1" s="1"/>
  <c r="F13" i="1" s="1"/>
  <c r="F12" i="1" s="1"/>
  <c r="H719" i="1" l="1"/>
  <c r="G719" i="1"/>
  <c r="F229" i="1"/>
  <c r="F228" i="1" s="1"/>
  <c r="F351" i="1"/>
  <c r="F350" i="1" s="1"/>
  <c r="H229" i="1"/>
  <c r="H228" i="1" s="1"/>
  <c r="H351" i="1"/>
  <c r="G351" i="1"/>
  <c r="F73" i="1"/>
  <c r="F190" i="1"/>
  <c r="G18" i="2" s="1"/>
  <c r="H73" i="1"/>
  <c r="H190" i="1"/>
  <c r="I18" i="2" s="1"/>
  <c r="G229" i="1"/>
  <c r="G228" i="1" s="1"/>
  <c r="G73" i="1"/>
  <c r="G190" i="1"/>
  <c r="H18" i="2" s="1"/>
  <c r="F719" i="1"/>
  <c r="F718" i="1" s="1"/>
  <c r="F709" i="1" s="1"/>
  <c r="F708" i="1" s="1"/>
  <c r="G130" i="1"/>
  <c r="G129" i="1" s="1"/>
  <c r="G128" i="1" s="1"/>
  <c r="H694" i="1"/>
  <c r="F694" i="1"/>
  <c r="F669" i="1" s="1"/>
  <c r="F664" i="1" s="1"/>
  <c r="G694" i="1"/>
  <c r="F23" i="1"/>
  <c r="F470" i="1"/>
  <c r="G820" i="1"/>
  <c r="G819" i="1" s="1"/>
  <c r="F820" i="1"/>
  <c r="F819" i="1" s="1"/>
  <c r="H820" i="1"/>
  <c r="H819" i="1" s="1"/>
  <c r="F321" i="1"/>
  <c r="F320" i="1" s="1"/>
  <c r="G321" i="1"/>
  <c r="G320" i="1" s="1"/>
  <c r="F236" i="1"/>
  <c r="F235" i="1" s="1"/>
  <c r="F234" i="1" s="1"/>
  <c r="F130" i="1"/>
  <c r="F129" i="1" s="1"/>
  <c r="G236" i="1"/>
  <c r="G235" i="1" s="1"/>
  <c r="H236" i="1"/>
  <c r="H235" i="1" s="1"/>
  <c r="H130" i="1"/>
  <c r="H129" i="1" s="1"/>
  <c r="H321" i="1"/>
  <c r="H320" i="1" s="1"/>
  <c r="F546" i="1"/>
  <c r="F545" i="1" s="1"/>
  <c r="F540" i="1" s="1"/>
  <c r="H546" i="1"/>
  <c r="H545" i="1" s="1"/>
  <c r="H540" i="1" s="1"/>
  <c r="G546" i="1"/>
  <c r="G545" i="1" s="1"/>
  <c r="G540" i="1" s="1"/>
  <c r="G441" i="1"/>
  <c r="F441" i="1"/>
  <c r="H441" i="1"/>
  <c r="H350" i="1"/>
  <c r="G350" i="1"/>
  <c r="F804" i="1"/>
  <c r="F803" i="1" s="1"/>
  <c r="F384" i="1"/>
  <c r="H384" i="1"/>
  <c r="G384" i="1"/>
  <c r="G834" i="1"/>
  <c r="G885" i="1"/>
  <c r="F857" i="1"/>
  <c r="F856" i="1" s="1"/>
  <c r="H404" i="1"/>
  <c r="F772" i="1"/>
  <c r="H772" i="1"/>
  <c r="G772" i="1"/>
  <c r="G669" i="1"/>
  <c r="G664" i="1" s="1"/>
  <c r="F827" i="1"/>
  <c r="H470" i="1"/>
  <c r="H669" i="1"/>
  <c r="H664" i="1" s="1"/>
  <c r="G185" i="1"/>
  <c r="H17" i="2" s="1"/>
  <c r="F59" i="1"/>
  <c r="F280" i="1"/>
  <c r="F279" i="1" s="1"/>
  <c r="H59" i="1"/>
  <c r="H227" i="1"/>
  <c r="G227" i="1"/>
  <c r="F200" i="1"/>
  <c r="F199" i="1" s="1"/>
  <c r="F198" i="1" s="1"/>
  <c r="F810" i="1"/>
  <c r="F64" i="1"/>
  <c r="G301" i="1"/>
  <c r="G300" i="1" s="1"/>
  <c r="F227" i="1"/>
  <c r="H766" i="1"/>
  <c r="H765" i="1" s="1"/>
  <c r="H764" i="1" s="1"/>
  <c r="H763" i="1" s="1"/>
  <c r="G452" i="1"/>
  <c r="G448" i="1" s="1"/>
  <c r="H16" i="2" s="1"/>
  <c r="H874" i="1"/>
  <c r="H873" i="1" s="1"/>
  <c r="H872" i="1" s="1"/>
  <c r="H496" i="1"/>
  <c r="H495" i="1" s="1"/>
  <c r="H494" i="1" s="1"/>
  <c r="G295" i="1"/>
  <c r="F307" i="1"/>
  <c r="F306" i="1" s="1"/>
  <c r="G338" i="1"/>
  <c r="G337" i="1" s="1"/>
  <c r="G176" i="1"/>
  <c r="G172" i="1" s="1"/>
  <c r="H23" i="1"/>
  <c r="I20" i="2" s="1"/>
  <c r="G419" i="1"/>
  <c r="H608" i="1"/>
  <c r="H607" i="1" s="1"/>
  <c r="H848" i="1"/>
  <c r="H847" i="1" s="1"/>
  <c r="F286" i="1"/>
  <c r="H286" i="1"/>
  <c r="H827" i="1"/>
  <c r="H301" i="1"/>
  <c r="H300" i="1" s="1"/>
  <c r="F608" i="1"/>
  <c r="F607" i="1" s="1"/>
  <c r="F766" i="1"/>
  <c r="F765" i="1" s="1"/>
  <c r="F764" i="1" s="1"/>
  <c r="F763" i="1" s="1"/>
  <c r="G827" i="1"/>
  <c r="H139" i="1"/>
  <c r="G766" i="1"/>
  <c r="G765" i="1" s="1"/>
  <c r="G764" i="1" s="1"/>
  <c r="G763" i="1" s="1"/>
  <c r="G626" i="1"/>
  <c r="G625" i="1" s="1"/>
  <c r="F791" i="1"/>
  <c r="F139" i="1"/>
  <c r="F505" i="1"/>
  <c r="F504" i="1" s="1"/>
  <c r="F503" i="1" s="1"/>
  <c r="H651" i="1"/>
  <c r="G804" i="1"/>
  <c r="G803" i="1" s="1"/>
  <c r="H857" i="1"/>
  <c r="H856" i="1" s="1"/>
  <c r="F176" i="1"/>
  <c r="F172" i="1" s="1"/>
  <c r="G470" i="1"/>
  <c r="F834" i="1"/>
  <c r="G791" i="1"/>
  <c r="G59" i="1"/>
  <c r="H834" i="1"/>
  <c r="H804" i="1"/>
  <c r="H803" i="1" s="1"/>
  <c r="F785" i="1"/>
  <c r="G150" i="1"/>
  <c r="H634" i="1"/>
  <c r="H307" i="1"/>
  <c r="H306" i="1" s="1"/>
  <c r="F404" i="1"/>
  <c r="F479" i="1"/>
  <c r="H594" i="1"/>
  <c r="H593" i="1" s="1"/>
  <c r="H185" i="1"/>
  <c r="I17" i="2" s="1"/>
  <c r="F273" i="1"/>
  <c r="F272" i="1" s="1"/>
  <c r="F271" i="1" s="1"/>
  <c r="G307" i="1"/>
  <c r="G306" i="1" s="1"/>
  <c r="H479" i="1"/>
  <c r="G848" i="1"/>
  <c r="G847" i="1" s="1"/>
  <c r="G651" i="1"/>
  <c r="G23" i="1"/>
  <c r="H176" i="1"/>
  <c r="H172" i="1" s="1"/>
  <c r="H505" i="1"/>
  <c r="H504" i="1" s="1"/>
  <c r="H503" i="1" s="1"/>
  <c r="G594" i="1"/>
  <c r="G593" i="1" s="1"/>
  <c r="H791" i="1"/>
  <c r="G505" i="1"/>
  <c r="G504" i="1" s="1"/>
  <c r="G503" i="1" s="1"/>
  <c r="F626" i="1"/>
  <c r="F625" i="1" s="1"/>
  <c r="F185" i="1"/>
  <c r="G17" i="2" s="1"/>
  <c r="F301" i="1"/>
  <c r="F300" i="1" s="1"/>
  <c r="G479" i="1"/>
  <c r="F651" i="1"/>
  <c r="H626" i="1"/>
  <c r="H625" i="1" s="1"/>
  <c r="G857" i="1"/>
  <c r="G856" i="1" s="1"/>
  <c r="H200" i="1"/>
  <c r="H199" i="1" s="1"/>
  <c r="G139" i="1"/>
  <c r="G200" i="1"/>
  <c r="G199" i="1" s="1"/>
  <c r="G286" i="1"/>
  <c r="F496" i="1"/>
  <c r="F495" i="1" s="1"/>
  <c r="F494" i="1" s="1"/>
  <c r="G608" i="1"/>
  <c r="G607" i="1" s="1"/>
  <c r="F105" i="1"/>
  <c r="F104" i="1" s="1"/>
  <c r="H105" i="1"/>
  <c r="H104" i="1" s="1"/>
  <c r="G105" i="1"/>
  <c r="G104" i="1" s="1"/>
  <c r="F95" i="1"/>
  <c r="F295" i="1"/>
  <c r="F419" i="1"/>
  <c r="F885" i="1"/>
  <c r="F874" i="1"/>
  <c r="F873" i="1" s="1"/>
  <c r="F872" i="1" s="1"/>
  <c r="G64" i="1"/>
  <c r="H95" i="1"/>
  <c r="H150" i="1"/>
  <c r="H273" i="1"/>
  <c r="H272" i="1" s="1"/>
  <c r="H271" i="1" s="1"/>
  <c r="H295" i="1"/>
  <c r="H419" i="1"/>
  <c r="G496" i="1"/>
  <c r="G495" i="1" s="1"/>
  <c r="G494" i="1" s="1"/>
  <c r="G634" i="1"/>
  <c r="H785" i="1"/>
  <c r="H885" i="1"/>
  <c r="G95" i="1"/>
  <c r="G273" i="1"/>
  <c r="G272" i="1" s="1"/>
  <c r="G271" i="1" s="1"/>
  <c r="F634" i="1"/>
  <c r="G785" i="1"/>
  <c r="F848" i="1"/>
  <c r="F847" i="1" s="1"/>
  <c r="H364" i="1"/>
  <c r="F515" i="1"/>
  <c r="F514" i="1" s="1"/>
  <c r="F36" i="1"/>
  <c r="F35" i="1" s="1"/>
  <c r="G364" i="1"/>
  <c r="H64" i="1"/>
  <c r="F150" i="1"/>
  <c r="F338" i="1"/>
  <c r="F337" i="1" s="1"/>
  <c r="G426" i="1"/>
  <c r="H515" i="1"/>
  <c r="H514" i="1" s="1"/>
  <c r="G874" i="1"/>
  <c r="G873" i="1" s="1"/>
  <c r="G872" i="1" s="1"/>
  <c r="F897" i="1"/>
  <c r="F896" i="1" s="1"/>
  <c r="F895" i="1" s="1"/>
  <c r="F894" i="1" s="1"/>
  <c r="I3" i="2"/>
  <c r="H3" i="2"/>
  <c r="H280" i="1"/>
  <c r="H279" i="1" s="1"/>
  <c r="H338" i="1"/>
  <c r="H337" i="1" s="1"/>
  <c r="F452" i="1"/>
  <c r="F448" i="1" s="1"/>
  <c r="G16" i="2" s="1"/>
  <c r="F426" i="1"/>
  <c r="G515" i="1"/>
  <c r="G514" i="1" s="1"/>
  <c r="H718" i="1"/>
  <c r="H709" i="1" s="1"/>
  <c r="H708" i="1" s="1"/>
  <c r="H897" i="1"/>
  <c r="H896" i="1" s="1"/>
  <c r="H895" i="1" s="1"/>
  <c r="H894" i="1" s="1"/>
  <c r="G280" i="1"/>
  <c r="G279" i="1" s="1"/>
  <c r="G404" i="1"/>
  <c r="F364" i="1"/>
  <c r="H452" i="1"/>
  <c r="H448" i="1" s="1"/>
  <c r="I16" i="2" s="1"/>
  <c r="H426" i="1"/>
  <c r="F594" i="1"/>
  <c r="F593" i="1" s="1"/>
  <c r="G718" i="1"/>
  <c r="G709" i="1" s="1"/>
  <c r="G708" i="1" s="1"/>
  <c r="G897" i="1"/>
  <c r="G896" i="1" s="1"/>
  <c r="G895" i="1" s="1"/>
  <c r="G894" i="1" s="1"/>
  <c r="H810" i="1"/>
  <c r="G810" i="1"/>
  <c r="A12" i="1"/>
  <c r="A13" i="1" s="1"/>
  <c r="A14" i="1" s="1"/>
  <c r="A15" i="1" s="1"/>
  <c r="A16" i="1" s="1"/>
  <c r="G14" i="2" l="1"/>
  <c r="H20" i="2"/>
  <c r="G20" i="2"/>
  <c r="I14" i="2"/>
  <c r="G809" i="1"/>
  <c r="H809" i="1"/>
  <c r="H592" i="1"/>
  <c r="F809" i="1"/>
  <c r="H14" i="2"/>
  <c r="G6" i="2"/>
  <c r="A17" i="1"/>
  <c r="A18" i="1" s="1"/>
  <c r="A19" i="1" s="1"/>
  <c r="G846" i="1"/>
  <c r="G845" i="1" s="1"/>
  <c r="H846" i="1"/>
  <c r="H845" i="1" s="1"/>
  <c r="G592" i="1"/>
  <c r="F846" i="1"/>
  <c r="F845" i="1" s="1"/>
  <c r="F592" i="1"/>
  <c r="G826" i="1"/>
  <c r="G825" i="1" s="1"/>
  <c r="H58" i="1"/>
  <c r="I15" i="2" s="1"/>
  <c r="H6" i="2"/>
  <c r="G234" i="1"/>
  <c r="I6" i="2"/>
  <c r="H234" i="1"/>
  <c r="I5" i="2"/>
  <c r="G171" i="1"/>
  <c r="H22" i="1"/>
  <c r="F22" i="1"/>
  <c r="G22" i="1"/>
  <c r="F58" i="1"/>
  <c r="G15" i="2" s="1"/>
  <c r="G10" i="2"/>
  <c r="H465" i="1"/>
  <c r="H464" i="1" s="1"/>
  <c r="F826" i="1"/>
  <c r="F825" i="1" s="1"/>
  <c r="G11" i="2"/>
  <c r="G784" i="1"/>
  <c r="G5" i="2"/>
  <c r="I11" i="2"/>
  <c r="H11" i="2"/>
  <c r="G138" i="1"/>
  <c r="I10" i="2"/>
  <c r="H10" i="2"/>
  <c r="F285" i="1"/>
  <c r="G8" i="2" s="1"/>
  <c r="H513" i="1"/>
  <c r="G513" i="1"/>
  <c r="F513" i="1"/>
  <c r="G90" i="1"/>
  <c r="H90" i="1"/>
  <c r="F90" i="1"/>
  <c r="G285" i="1"/>
  <c r="H8" i="2" s="1"/>
  <c r="G198" i="1"/>
  <c r="H198" i="1"/>
  <c r="H784" i="1"/>
  <c r="H633" i="1"/>
  <c r="H488" i="1"/>
  <c r="F138" i="1"/>
  <c r="F137" i="1" s="1"/>
  <c r="H826" i="1"/>
  <c r="H825" i="1" s="1"/>
  <c r="F465" i="1"/>
  <c r="F464" i="1" s="1"/>
  <c r="G465" i="1"/>
  <c r="G464" i="1" s="1"/>
  <c r="F784" i="1"/>
  <c r="H285" i="1"/>
  <c r="H278" i="1" s="1"/>
  <c r="G58" i="1"/>
  <c r="H138" i="1"/>
  <c r="H137" i="1" s="1"/>
  <c r="F488" i="1"/>
  <c r="F633" i="1"/>
  <c r="F363" i="1"/>
  <c r="F349" i="1" s="1"/>
  <c r="H5" i="2"/>
  <c r="H128" i="1"/>
  <c r="F418" i="1"/>
  <c r="F417" i="1" s="1"/>
  <c r="G418" i="1"/>
  <c r="G417" i="1" s="1"/>
  <c r="G633" i="1"/>
  <c r="G363" i="1"/>
  <c r="G349" i="1" s="1"/>
  <c r="G488" i="1"/>
  <c r="F128" i="1"/>
  <c r="H171" i="1"/>
  <c r="H363" i="1"/>
  <c r="H349" i="1" s="1"/>
  <c r="H418" i="1"/>
  <c r="H417" i="1" s="1"/>
  <c r="G3" i="2"/>
  <c r="F319" i="1"/>
  <c r="F171" i="1"/>
  <c r="I8" i="2" l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H197" i="1"/>
  <c r="G137" i="1"/>
  <c r="G127" i="1" s="1"/>
  <c r="H57" i="1"/>
  <c r="H11" i="1" s="1"/>
  <c r="F278" i="1"/>
  <c r="F197" i="1" s="1"/>
  <c r="F57" i="1"/>
  <c r="G57" i="1"/>
  <c r="G11" i="1" s="1"/>
  <c r="H15" i="2"/>
  <c r="H9" i="2"/>
  <c r="F624" i="1"/>
  <c r="F512" i="1" s="1"/>
  <c r="G13" i="2"/>
  <c r="H624" i="1"/>
  <c r="H512" i="1" s="1"/>
  <c r="I13" i="2"/>
  <c r="H4" i="2"/>
  <c r="G624" i="1"/>
  <c r="G512" i="1" s="1"/>
  <c r="H13" i="2"/>
  <c r="I9" i="2"/>
  <c r="H783" i="1"/>
  <c r="H771" i="1" s="1"/>
  <c r="I12" i="2"/>
  <c r="G783" i="1"/>
  <c r="G771" i="1" s="1"/>
  <c r="H12" i="2"/>
  <c r="F783" i="1"/>
  <c r="F771" i="1" s="1"/>
  <c r="G12" i="2"/>
  <c r="G9" i="2"/>
  <c r="G278" i="1"/>
  <c r="G197" i="1" s="1"/>
  <c r="F11" i="1"/>
  <c r="I7" i="2"/>
  <c r="G7" i="2"/>
  <c r="H7" i="2"/>
  <c r="G4" i="2"/>
  <c r="I4" i="2"/>
  <c r="H127" i="1"/>
  <c r="G318" i="1"/>
  <c r="F318" i="1"/>
  <c r="F127" i="1"/>
  <c r="H318" i="1"/>
  <c r="A50" i="1" l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I19" i="2"/>
  <c r="I21" i="2" s="1"/>
  <c r="G19" i="2"/>
  <c r="G21" i="2" s="1"/>
  <c r="H19" i="2"/>
  <c r="H21" i="2" s="1"/>
  <c r="F918" i="1"/>
  <c r="H918" i="1"/>
  <c r="G918" i="1"/>
  <c r="A84" i="1" l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l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l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l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l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l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l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</calcChain>
</file>

<file path=xl/sharedStrings.xml><?xml version="1.0" encoding="utf-8"?>
<sst xmlns="http://schemas.openxmlformats.org/spreadsheetml/2006/main" count="2996" uniqueCount="844">
  <si>
    <t>№  строки</t>
  </si>
  <si>
    <t>Наименование раздела, подраздела, целевой статьи или подгруппы видов расходов</t>
  </si>
  <si>
    <t>Код целевой статьи</t>
  </si>
  <si>
    <t>Код вида расходов</t>
  </si>
  <si>
    <t>Сумма, в тысячах рублей</t>
  </si>
  <si>
    <t>на 2024 год</t>
  </si>
  <si>
    <t>на 2025 год</t>
  </si>
  <si>
    <t>на 2026 год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</si>
  <si>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</si>
  <si>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</si>
  <si>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</si>
  <si>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</si>
  <si>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"Совершенствование муниципального управления на территории Невьянского городского округа до 2027 года"</t>
  </si>
  <si>
    <t>0100000000</t>
  </si>
  <si>
    <t xml:space="preserve">        Подпрограмма "Обеспечение реализации муниципальной программы "Совершенствование муниципального управления на территории Невьянского городского округа на 2020-2027 годы"</t>
  </si>
  <si>
    <t>0130000000</t>
  </si>
  <si>
    <t xml:space="preserve">          Глава городского округа</t>
  </si>
  <si>
    <t>0130111020</t>
  </si>
  <si>
    <t xml:space="preserve">            Расходы на выплаты персоналу государственных (муниципальных) органов</t>
  </si>
  <si>
    <t>120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</si>
  <si>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</si>
  <si>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</si>
  <si>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Непрограммные мероприятия</t>
  </si>
  <si>
    <t>7000000000</t>
  </si>
  <si>
    <t xml:space="preserve">          Председатель Думы Невьянского городского округа</t>
  </si>
  <si>
    <t>7000111030</t>
  </si>
  <si>
    <t xml:space="preserve">          Профессиональная подготовка, переподготовка и повышение квалификации муниципальных служащих и лиц, замещающих муниципальные должности.</t>
  </si>
  <si>
    <t>7000111050</t>
  </si>
  <si>
    <t xml:space="preserve">            Иные закупки товаров, работ и услуг для обеспечения государственных (муниципальных) нужд</t>
  </si>
  <si>
    <t>240</t>
  </si>
  <si>
    <t xml:space="preserve">          Обеспечение деятельности Думы Невьянского городского округа</t>
  </si>
  <si>
    <t>7000111130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</si>
  <si>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</si>
  <si>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</si>
  <si>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Подпрограмма "Развитие муниципальной службы  в Невьянском городском округе"</t>
  </si>
  <si>
    <t>0110000000</t>
  </si>
  <si>
    <t xml:space="preserve">          Профессиональная подготовка, переподготовка и повышение квалификации муниципальных служащих и лиц, замещающих муниципальные должности</t>
  </si>
  <si>
    <t>0110111050</t>
  </si>
  <si>
    <t xml:space="preserve">          Обеспечение деятельности органов местного самоуправления</t>
  </si>
  <si>
    <t>0130111040</t>
  </si>
  <si>
    <t xml:space="preserve">            Уплата налогов, сборов и иных платежей</t>
  </si>
  <si>
    <t>850</t>
  </si>
  <si>
    <t xml:space="preserve">    Судебная система</t>
  </si>
  <si>
    <t>0105</t>
  </si>
  <si>
    <t xml:space="preserve">          Финансовое обеспечение государственных полномочий по составлению (изменению и дополнению) списков кандидатов в присяжные заседатели федеральных судов общей юрисдикции</t>
  </si>
  <si>
    <t>0130151200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</si>
  <si>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</si>
  <si>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</si>
  <si>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Муниципальная программа "Управление муниципальными финансами Невьянского городского округа до 2027 года"</t>
  </si>
  <si>
    <t>1300000000</t>
  </si>
  <si>
    <t xml:space="preserve">        Подпрограмма "Совершенствование информационной системы управления финансами"</t>
  </si>
  <si>
    <t>1330000000</t>
  </si>
  <si>
    <t xml:space="preserve">          Сопровождение программных комплексов "ИСУФ", "Бюджет-СМАРТ", "Свод-СМАРТ"</t>
  </si>
  <si>
    <t>133017П320</t>
  </si>
  <si>
    <t xml:space="preserve">          Создание и техническое сопровождение муниципальной системы управления закупками на основе программы "WEB-торги-КС"</t>
  </si>
  <si>
    <t>133017П340</t>
  </si>
  <si>
    <t xml:space="preserve">        Подпрограмма "Обеспечение реализации муниципальной программы "Управление муниципальными финансами Невьянского городского округа до 2027 года"</t>
  </si>
  <si>
    <t>1340000000</t>
  </si>
  <si>
    <t>1340111040</t>
  </si>
  <si>
    <t xml:space="preserve">          Профессиональная подготовка переподготовка и повышение квалификации муниципальных служащих и лиц, замещающих муниципальные должности</t>
  </si>
  <si>
    <t>1340111050</t>
  </si>
  <si>
    <t xml:space="preserve">          Управление информационными технологиями, создание и техническое сопровождение информационно-коммуникационной инфраструктуры</t>
  </si>
  <si>
    <t>1340171440</t>
  </si>
  <si>
    <t xml:space="preserve">          Председатель Счетной комиссии Невьянского городского округа</t>
  </si>
  <si>
    <t>7000111060</t>
  </si>
  <si>
    <t xml:space="preserve">          Обеспечение деятельности Счетной комиссии Невьянского городского округа</t>
  </si>
  <si>
    <t>7000111160</t>
  </si>
  <si>
    <t xml:space="preserve">    Резервные фонды</t>
  </si>
  <si>
    <t>0111</t>
  </si>
  <si>
    <t xml:space="preserve">          Резервный фонд администрации Невьянского городского округа</t>
  </si>
  <si>
    <t>7000105000</t>
  </si>
  <si>
    <t xml:space="preserve">            Резервные средства</t>
  </si>
  <si>
    <t>870</t>
  </si>
  <si>
    <t xml:space="preserve">    Другие общегосударственные вопросы</t>
  </si>
  <si>
    <t>0113</t>
  </si>
  <si>
    <t xml:space="preserve">        Подпрограмма "Противодействие коррупции в Невьянском городском округе на 2020- 2027 годы"</t>
  </si>
  <si>
    <t>0120000000</t>
  </si>
  <si>
    <t xml:space="preserve">          Проведение исследования состояния коррупции в Невьянском городском округе социологическими методами, обобщение результатов исследования и предоставление информационных услуг по данному направлению</t>
  </si>
  <si>
    <t>0120110130</t>
  </si>
  <si>
    <t xml:space="preserve">          Осуществление государственного полномочия Свердловской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Свердловской области</t>
  </si>
  <si>
    <t>0130141100</t>
  </si>
  <si>
    <t xml:space="preserve">          Осуществление государственного полномочия Свердловской области по созданию административных комиссий</t>
  </si>
  <si>
    <t>0130141200</t>
  </si>
  <si>
    <t xml:space="preserve">          Осуществление переданных государственных полномочий Свердловской области по постановке на учет и учету граждан Российской Федерации, имеющих право на получение жилищных субсидий на приобретение или строительство жилых помещений в соответствии с Федеральным законом о жилищных субсидиях гражданам, выезжающих из районов Крайнего Севера и приравненных к ним местностей</t>
  </si>
  <si>
    <t>0130141500</t>
  </si>
  <si>
    <t xml:space="preserve">          Осуществление государственных полномочий органами местного самоуправления по хранению, комплектованию, учету и использованию архивных документов, относящихся к государственной собственности Свердловской области</t>
  </si>
  <si>
    <t>0130146100</t>
  </si>
  <si>
    <t xml:space="preserve">      Муниципальная программа "Повышение эффективности управления муниципальной собственностью Невьянского городского округа и распоряжения земельными участками, государственная собственность на которые не разграничена до 2027 года"</t>
  </si>
  <si>
    <t>0600000000</t>
  </si>
  <si>
    <t xml:space="preserve">        Подпрограмма "Организация управления муниципальной собственностью Невьянского городского округа, имуществом подлежащим оформлению в собственность Невьянского городского округа и другого имущества в случаях, установленных федеральными нормативными правовыми актами"</t>
  </si>
  <si>
    <t>0610000000</t>
  </si>
  <si>
    <t xml:space="preserve">          Расходы на приобретение имущества в казну Невьянского городского округа</t>
  </si>
  <si>
    <t>0610113230</t>
  </si>
  <si>
    <t xml:space="preserve">          Расходы на ремонт муниципального имущества, находящегося в казне Невьянского городского округа, в том числе на подготовку сметной документации, дефектных ведомостей на проведение ремонта</t>
  </si>
  <si>
    <t>0610113240</t>
  </si>
  <si>
    <t xml:space="preserve">          Расходы на содержание объектов муниципальной собственности, находящихся в казне Невьянского городского округа</t>
  </si>
  <si>
    <t>0610113250</t>
  </si>
  <si>
    <t xml:space="preserve">          Расходы на снос ветхих и аварийных зданий, строений, сооружений, на утилизацию другого имущества, находящегося в казне Невьянского городского округа</t>
  </si>
  <si>
    <t>0610113260</t>
  </si>
  <si>
    <t xml:space="preserve">          Расходы на модернизацию и (или) реконструкцию муниципального имущества находящегося в казне Невьянского городского округа</t>
  </si>
  <si>
    <t>0610113290</t>
  </si>
  <si>
    <t xml:space="preserve">          Расходы на определение рыночной стоимости объектов незавершенного строительства с целью продажи с публичных торгов на основании решения суда об изъятии их у собственника</t>
  </si>
  <si>
    <t>0610113410</t>
  </si>
  <si>
    <t xml:space="preserve">      Муниципальная программа "Новое качество жизни жителей Невьянского городского округа на период 2020-2027 года"</t>
  </si>
  <si>
    <t>0900000000</t>
  </si>
  <si>
    <t xml:space="preserve">        Подпрограмма "Профилактика терроризма и экстремизма в  Невьянском городском округе"</t>
  </si>
  <si>
    <t>0930000000</t>
  </si>
  <si>
    <t xml:space="preserve">          Организация обучения муниципальных служащих по вопросам гармонизации межнациональных отношений, поддержания межэтнического мира, взаимодействия с национально-культурными объединениями</t>
  </si>
  <si>
    <t>0930119140</t>
  </si>
  <si>
    <t xml:space="preserve">          Исполнение судебных актов по искам к Невьянскому городскому округу о возмещении вреда, причиненного гражданину или юридическому лицу в результате незаконных действий (бездействия) органов местного самоуправления Невьянского городского округа либо должностных лиц этих органов</t>
  </si>
  <si>
    <t>7000106000</t>
  </si>
  <si>
    <t xml:space="preserve">            Исполнение судебных актов</t>
  </si>
  <si>
    <t>830</t>
  </si>
  <si>
    <t xml:space="preserve">  НАЦИОНАЛЬНАЯ БЕЗОПАСНОСТЬ И ПРАВООХРАНИТЕЛЬНАЯ ДЕЯТЕЛЬНОСТЬ</t>
  </si>
  <si>
    <t>0300</t>
  </si>
  <si>
    <t xml:space="preserve">    Гражданская оборона</t>
  </si>
  <si>
    <t>0309</t>
  </si>
  <si>
    <t xml:space="preserve">      Муниципальная программа "Обеспечение общественной безопасности населения Невьянского городского округа до 2027 года"</t>
  </si>
  <si>
    <t>0200000000</t>
  </si>
  <si>
    <t xml:space="preserve">        Подпрограмма "Предупреждение и ликвидация чрезвычайных ситуаций, гражданская оборона"</t>
  </si>
  <si>
    <t>0210000000</t>
  </si>
  <si>
    <t xml:space="preserve">          Разработка документации по линии гражданской обороны и изготовление информационных материалов</t>
  </si>
  <si>
    <t>0210112021</t>
  </si>
  <si>
    <t xml:space="preserve">          Соблюдение режима секретности выделенных мест администрации Невьянского городского округа</t>
  </si>
  <si>
    <t>0210112060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</si>
  <si>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</si>
  <si>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</si>
  <si>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Функционирование Единой дежурной диспетчерской службы и обеспечение вызова экстренных оперативных служб</t>
  </si>
  <si>
    <t>0210112010</t>
  </si>
  <si>
    <t xml:space="preserve">            Расходы на выплаты персоналу казенных учреждений</t>
  </si>
  <si>
    <t>110</t>
  </si>
  <si>
    <t xml:space="preserve">          Содержание и развитие системы оповещения населения при возникновении чрезвычайных ситуаций</t>
  </si>
  <si>
    <t>0210112030</t>
  </si>
  <si>
    <t xml:space="preserve">          Обеспечение безопасности  людей на водных объектах</t>
  </si>
  <si>
    <t>0210112040</t>
  </si>
  <si>
    <t xml:space="preserve">          Проведение соревнований среди учащихся "Школа безопасности"</t>
  </si>
  <si>
    <t>0210112050</t>
  </si>
  <si>
    <t xml:space="preserve">            Субсидии бюджетным учреждениям</t>
  </si>
  <si>
    <t>610</t>
  </si>
  <si>
    <t xml:space="preserve">        Подпрограмма "Обеспечение первичных мер пожарной безопасности"</t>
  </si>
  <si>
    <t>0220000000</t>
  </si>
  <si>
    <t xml:space="preserve">          Проведение мероприятий по обучению населения и  изготовление информационных материалов по пожарной  безопасности</t>
  </si>
  <si>
    <t>0220112070</t>
  </si>
  <si>
    <t xml:space="preserve">            Субсидии автономным учреждениям</t>
  </si>
  <si>
    <t>620</t>
  </si>
  <si>
    <t xml:space="preserve">          Обустройство, содержание и ремонт источников наружного противопожарного водоснабжения</t>
  </si>
  <si>
    <t>0220112080</t>
  </si>
  <si>
    <t xml:space="preserve">          Обеспечение условий и деятельности общественных объединений добровольной пожарной охраны</t>
  </si>
  <si>
    <t>0220112090</t>
  </si>
  <si>
    <t xml:space="preserve">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</si>
  <si>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</si>
  <si>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Содержание пожарного автомобиля в д. Нижние Таволги</t>
  </si>
  <si>
    <t>0220112100</t>
  </si>
  <si>
    <t xml:space="preserve">          Проведение минерализованных полос вокруг населенных пунктов</t>
  </si>
  <si>
    <t>0220112110</t>
  </si>
  <si>
    <t xml:space="preserve">          Приобретение, монтаж , установка и содержание пожарно-технической продукции, а также иных средств предупреждения и тушения пожаров на территории Невьянского городского округа</t>
  </si>
  <si>
    <t>0220112140</t>
  </si>
  <si>
    <t xml:space="preserve">        Подпрограмма "Организация и развитие водохозяйственного комплекса на территории Невьянского городского округа"</t>
  </si>
  <si>
    <t>0230000000</t>
  </si>
  <si>
    <t xml:space="preserve">          Проведение противопаводковых мероприятий</t>
  </si>
  <si>
    <t>0230112130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</si>
  <si>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</si>
  <si>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</si>
  <si>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  Оборудование мест массового пребывания людей, расположенных на территории Невьянского городского округа</t>
  </si>
  <si>
    <t>0930119170</t>
  </si>
  <si>
    <t xml:space="preserve">        Подпрограмма "Профилактика правонарушений в Невьянском городском округе"</t>
  </si>
  <si>
    <t>0940000000</t>
  </si>
  <si>
    <t xml:space="preserve">          Стимулирование населения за помощь в организации в выявлении и раскрытии правонарушений и преступлений</t>
  </si>
  <si>
    <t>0940119060</t>
  </si>
  <si>
    <t xml:space="preserve">            Иные выплаты населению</t>
  </si>
  <si>
    <t>360</t>
  </si>
  <si>
    <t>0940119200</t>
  </si>
  <si>
    <t xml:space="preserve">          Комплексные меры по стимулированию участия населения в деятельности общественных организаций правоохранительной направленности в форме добровольных народных дружин</t>
  </si>
  <si>
    <t>0940119210</t>
  </si>
  <si>
    <t xml:space="preserve">          Развитие системы аппаратно-программного комплекса "Безопасный город" на территории Невьянского городского округа</t>
  </si>
  <si>
    <t>0940119230</t>
  </si>
  <si>
    <t xml:space="preserve">      Муниципальная программа "Формирование законопослушного поведения участников дорожного движения на территории Невьянского городского округа на 2020-2027 годы"</t>
  </si>
  <si>
    <t>1500000000</t>
  </si>
  <si>
    <t xml:space="preserve">          Приобретение, изготовление информационных материалов по профилактике безопасности дорожного движения</t>
  </si>
  <si>
    <t>1500119310</t>
  </si>
  <si>
    <t xml:space="preserve">          Приобретение материально-технических средств,  для обеспечения безопасности дорожного движения</t>
  </si>
  <si>
    <t>1500119320</t>
  </si>
  <si>
    <t xml:space="preserve">      Муниципальная программа" Профилактика терроризма, а также минимизация и (или) ликвидация последствий его проявлений в Невьянском городском округе до 2027 года"</t>
  </si>
  <si>
    <t>1600000000</t>
  </si>
  <si>
    <t xml:space="preserve">          Приведение состояния АТЗ объектов (территорий) и МППЛ, находящихся в муниципальной собственности, в соответствие с требованиям нормативных правовых актов Российской Федерации"</t>
  </si>
  <si>
    <t>1600116010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</si>
  <si>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</si>
  <si>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</si>
  <si>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</si>
  <si>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</si>
  <si>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"Развитие жилищно-коммунального хозяйства и повышение энергетической эффективности в Невьянском городском округе до 2027 года"</t>
  </si>
  <si>
    <t>0500000000</t>
  </si>
  <si>
    <t xml:space="preserve">        Подпрограмма "Организация и содержание объектов благоустройства"</t>
  </si>
  <si>
    <t>0540000000</t>
  </si>
  <si>
    <t xml:space="preserve">         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</t>
  </si>
  <si>
    <t>0540142П00</t>
  </si>
  <si>
    <t xml:space="preserve">          Субвенции местным бюджетам на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</t>
  </si>
  <si>
    <t>0540142П10</t>
  </si>
  <si>
    <t xml:space="preserve">      Муниципальная программа "Содействие социально-экономическому развитию Невьянского городского округа до 2027 года"</t>
  </si>
  <si>
    <t>1200000000</t>
  </si>
  <si>
    <t xml:space="preserve">        Подпрограмма "Развитие  агропромышленного комплекса, потребительского рынка в Невьянском городском округе до 2027 года"</t>
  </si>
  <si>
    <t>1230000000</t>
  </si>
  <si>
    <t xml:space="preserve">          Мероприятия в области сельскохозяйственного производства</t>
  </si>
  <si>
    <t>1230113470</t>
  </si>
  <si>
    <t xml:space="preserve">            Премии и гранты</t>
  </si>
  <si>
    <t>350</t>
  </si>
  <si>
    <t xml:space="preserve">          Организация ярмарок на территории Невьянского городского округа</t>
  </si>
  <si>
    <t>1230113490</t>
  </si>
  <si>
    <t xml:space="preserve">    Водное хозяйство</t>
  </si>
  <si>
    <t>0406</t>
  </si>
  <si>
    <t xml:space="preserve">          Содержание и обеспечение безопасности гидротехнических сооружений (плотин), расположенных на территории округа</t>
  </si>
  <si>
    <t>0230112120</t>
  </si>
  <si>
    <t xml:space="preserve">    Транспорт</t>
  </si>
  <si>
    <t>0408</t>
  </si>
  <si>
    <t xml:space="preserve">      Муниципальная программа "Развитие транспортной инфраструктуры, дорожного хозяйства в Невьянском городском округе до 2027 года"</t>
  </si>
  <si>
    <t>0400000000</t>
  </si>
  <si>
    <t xml:space="preserve">        Подпрограмма "Организация транспортного обслуживания населения"</t>
  </si>
  <si>
    <t>0420000000</t>
  </si>
  <si>
    <t xml:space="preserve">          Организация регулярных перевозок пассажиров на территории городского округа</t>
  </si>
  <si>
    <t>0420114190</t>
  </si>
  <si>
    <t xml:space="preserve">          Осуществление функций по организации регулярных перевозок пассажиров и багажа автомобильным транспортом по муниципальным маршрутам по регулируемым тарифам</t>
  </si>
  <si>
    <t>0420114191</t>
  </si>
  <si>
    <t xml:space="preserve">    Дорожное хозяйство (дорожные фонды)</t>
  </si>
  <si>
    <t>0409</t>
  </si>
  <si>
    <t xml:space="preserve">        Подпрограмма "Функционирование дорожного хозяйства"</t>
  </si>
  <si>
    <t>0410000000</t>
  </si>
  <si>
    <t xml:space="preserve">          Проектирование и (или) реконструкция улично-дорожной сети в Невьянском городском округе</t>
  </si>
  <si>
    <t>0410214030</t>
  </si>
  <si>
    <t xml:space="preserve">          Содержание улично-дорожной сети</t>
  </si>
  <si>
    <t>0410214040</t>
  </si>
  <si>
    <t xml:space="preserve">          Обустройство, содержание и ремонт технических средств организации дорожного движения</t>
  </si>
  <si>
    <t>0410214050</t>
  </si>
  <si>
    <t xml:space="preserve">          Ремонт остановочных комплексов на территории Невьянского городского округа</t>
  </si>
  <si>
    <t>0410214060</t>
  </si>
  <si>
    <t xml:space="preserve">          Покраска пешеходных переходов, нанесение продольной горизонтальной разметки</t>
  </si>
  <si>
    <t>0410214070</t>
  </si>
  <si>
    <t xml:space="preserve">          Ремонт мостовых сооружений на территории округа</t>
  </si>
  <si>
    <t>0410214080</t>
  </si>
  <si>
    <t xml:space="preserve">          Строительство, реконструкция, капитальный ремонт, ремонт автомобильных дорог общего пользования местного значения в городе Невьянске</t>
  </si>
  <si>
    <t>0410214090</t>
  </si>
  <si>
    <t xml:space="preserve">          Ремонт дворовых проездов в городе Невьянске и в сельских населенных пунктах</t>
  </si>
  <si>
    <t>0410214100</t>
  </si>
  <si>
    <t xml:space="preserve">          Обустройство транспортной инфраструктурой земельных участков, предоставляемых в собственность для индивидуального жилищного строительства гражданам, имеющих трех и более детей</t>
  </si>
  <si>
    <t>0410214150</t>
  </si>
  <si>
    <t xml:space="preserve">          Ремонт автомобильных дорог общего пользования местного значения в сельских населенных пунктах  Невьянского городского округа</t>
  </si>
  <si>
    <t>0410214180</t>
  </si>
  <si>
    <t xml:space="preserve">          Разработка и (или) корректировка проекта организации дорожного движения</t>
  </si>
  <si>
    <t>0410214200</t>
  </si>
  <si>
    <t xml:space="preserve">          Обустройство улично-дорожной сети вблизи образовательных организаций</t>
  </si>
  <si>
    <t>0410214210</t>
  </si>
  <si>
    <t xml:space="preserve">          Диагностика и оценка состояния автомобильных дорог общего пользования местного значения на территории Невьянского городского округа</t>
  </si>
  <si>
    <t>0410214230</t>
  </si>
  <si>
    <t xml:space="preserve">          Обустройство тротуаров по маршруту Дом-Школа-Дом в составе автомобильных дорог местного значения на территории Невьянского городского округа</t>
  </si>
  <si>
    <t>0410214240</t>
  </si>
  <si>
    <t xml:space="preserve">          Строительство и обустройство новых остановочных комплексов на территории Невьянского городского округа</t>
  </si>
  <si>
    <t>0420114120</t>
  </si>
  <si>
    <t xml:space="preserve">    Связь и информатика</t>
  </si>
  <si>
    <t>0410</t>
  </si>
  <si>
    <t xml:space="preserve">        Подпрограмма "Информационное общество Невьянского городского округа"</t>
  </si>
  <si>
    <t>0910000000</t>
  </si>
  <si>
    <t xml:space="preserve">          Приобретение , ремонт и модернизация используемой вычислительной техники, оргтехники</t>
  </si>
  <si>
    <t>0910113510</t>
  </si>
  <si>
    <t xml:space="preserve">          Функционирование информационно-коммуникационных технологий в Невьянском городском округе</t>
  </si>
  <si>
    <t>0910113550</t>
  </si>
  <si>
    <t xml:space="preserve">    Другие вопросы в области национальной экономики</t>
  </si>
  <si>
    <t>0412</t>
  </si>
  <si>
    <t xml:space="preserve">      Муниципальная программа "Реализация основных направлений в строительном комплексе Невьянского городского округа до 2027 года"</t>
  </si>
  <si>
    <t>0300000000</t>
  </si>
  <si>
    <t xml:space="preserve">        Подпрограмма "Стимулирование развития жилищного строительства"</t>
  </si>
  <si>
    <t>0330000000</t>
  </si>
  <si>
    <t xml:space="preserve">          Подготовка документации по планировке территорий в городе Невьянске и в сельских населенных пунктах Невьянского городского округа</t>
  </si>
  <si>
    <t>0330113070</t>
  </si>
  <si>
    <t xml:space="preserve">          Внесение изменений в градостроительную документацию и местные нормативы градостроительного проектирования Невьянского городского округа</t>
  </si>
  <si>
    <t>0330113140</t>
  </si>
  <si>
    <t xml:space="preserve">          Расходы на техническую инвентаризацию, кадастровые и учетно-технические работы в отношении муниципального, бесхозяйного и выморочного имущества, на учет, оценку, экспертизу, получение сведений, имеющихся в архивах специализированных организаций</t>
  </si>
  <si>
    <t>0610113210</t>
  </si>
  <si>
    <t xml:space="preserve">          Расходы, необходимые для обеспечения надлежащего учета муниципального имущества, в том числе приобретение необходимой компьютерной и офисной техники, программного обеспечения</t>
  </si>
  <si>
    <t>0610113220</t>
  </si>
  <si>
    <t xml:space="preserve">          Обеспечение обязательств, связанных с продажей муниципального имущества и предоставлением права на использование земельных участков и земель на территории Невьянского городского округа</t>
  </si>
  <si>
    <t>0610113280</t>
  </si>
  <si>
    <t xml:space="preserve">          Расходы на определение рыночной стоимости и (или) проведение мероприятий по экспертизе отчетов об оценке рыночной стоимости объектов движимого, недвижимого имущества, находящегося в частной собственности, с целью выкупа в муниципальную собственность</t>
  </si>
  <si>
    <t>0610113400</t>
  </si>
  <si>
    <t xml:space="preserve">        Подпрограмма "Организация распоряжения земельными участками, государственная собственность на которые не разграничена"</t>
  </si>
  <si>
    <t>0620000000</t>
  </si>
  <si>
    <t xml:space="preserve">          Расходы на межевание, кадастровый учет, изыскания, проведение геодезических работ, публикацию объявлений, проведение независимой оценки, в отношении земельных участков, право на распоряжение которыми принадлежит администрации Невьянского городского округа, проведение землеустроительных экспертиз, заключений, комплексных кадастровых работ</t>
  </si>
  <si>
    <t>0620113270</t>
  </si>
  <si>
    <t xml:space="preserve">          Проведение комплексных кадастровых работ</t>
  </si>
  <si>
    <t>06201S3700</t>
  </si>
  <si>
    <t xml:space="preserve">      Муниципальная программа "Развитие культуры и туризма в Невьянском городском округе до 2027 года"</t>
  </si>
  <si>
    <t>0800000000</t>
  </si>
  <si>
    <t xml:space="preserve">        Подпрограмма "Развитие туризма в Невьянском городском округе на 2020-2027 годы"</t>
  </si>
  <si>
    <t>0810000000</t>
  </si>
  <si>
    <t xml:space="preserve">          Организация и проведение событийных туристических мероприятий в Невьянском городском округе</t>
  </si>
  <si>
    <t>0810188060</t>
  </si>
  <si>
    <t xml:space="preserve">          Реализация мероприятий, направленных на продвижение туристического продукта и повышение туристического потенциала Невьянского городского округа</t>
  </si>
  <si>
    <t>0810188070</t>
  </si>
  <si>
    <t xml:space="preserve">        Подпрограмма "Содействие развитию малого и среднего предпринимательства в Невьянском городском округе на 2020-2027 годы"</t>
  </si>
  <si>
    <t>1220000000</t>
  </si>
  <si>
    <t xml:space="preserve">          Поддержка устойчивого развития инфраструктуры - фонда "Невьянский фонд поддержки малого предпринимательства"</t>
  </si>
  <si>
    <t>1220113440</t>
  </si>
  <si>
    <t xml:space="preserve">          Предоставление субсидии субъектам малого и среднего предпринимательства, осуществляющих сельскохозяйственную деятельность на территории Невьянского городского округа</t>
  </si>
  <si>
    <t>1220113460</t>
  </si>
  <si>
    <t xml:space="preserve">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</si>
  <si>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</si>
  <si>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Предоставление субсидий  на инженерное обустройство земель для ведения коллективного садоводства садоводческим некоммерческим объединениям, расположенным на территории Невьянского  городского округа</t>
  </si>
  <si>
    <t>1230113480</t>
  </si>
  <si>
    <t>1260000000</t>
  </si>
  <si>
    <t xml:space="preserve">          Реализация проектов инициативного бюджетирования на территории Невьянского городского округа</t>
  </si>
  <si>
    <t>12601S3100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</si>
  <si>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</si>
  <si>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</si>
  <si>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</si>
  <si>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</si>
  <si>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"Улучшение жилищных условий граждан, проживающих на территории Невьянского городского округа"</t>
  </si>
  <si>
    <t>0310000000</t>
  </si>
  <si>
    <t xml:space="preserve">          Снос расселяемых жилых помещений</t>
  </si>
  <si>
    <t>0310113030</t>
  </si>
  <si>
    <t xml:space="preserve">          Финансирование мероприятий по переселению граждан из жилых помещений признанных непригодными для проживания, в том числе по решению суда</t>
  </si>
  <si>
    <t>0310113100</t>
  </si>
  <si>
    <t xml:space="preserve">            Бюджетные инвестиции</t>
  </si>
  <si>
    <t>410</t>
  </si>
  <si>
    <t xml:space="preserve">          Переселение граждан из аварийного жилищного фонда</t>
  </si>
  <si>
    <t>031F36748S</t>
  </si>
  <si>
    <t xml:space="preserve">        Подпрограмма "Капитальный ремонт общего имущества в многоквартирных домах Невьянского городского округа"</t>
  </si>
  <si>
    <t>0520000000</t>
  </si>
  <si>
    <t xml:space="preserve">          Капитальный ремонт домов, не вошедших в региональную программу по проведению капитального ремонта</t>
  </si>
  <si>
    <t>0520115210</t>
  </si>
  <si>
    <t xml:space="preserve">          Проведение восстановительных работ по капитальному ремонту многоквартирного дома в п. Цементный Невьянского городского округа</t>
  </si>
  <si>
    <t>0520115215</t>
  </si>
  <si>
    <t xml:space="preserve">          Техническое обследование многоквартирных домов с целью определения физического износа</t>
  </si>
  <si>
    <t>0520115220</t>
  </si>
  <si>
    <t xml:space="preserve">          Предоставление (региональному оператору, на специальные счета ТСЖ) субсидий на обеспечение мероприятий по капитальному ремонту общего имущества в многоквартирных домах Невьянского городского округа за муниципальную собственность, находящуюся в многоквартирных домах</t>
  </si>
  <si>
    <t>0520115230</t>
  </si>
  <si>
    <t xml:space="preserve">          Расходы на проведение мероприятий по приспособлению жилых помещений и общего имущества в многоквартирных домах с учетом потребностей инвалидов</t>
  </si>
  <si>
    <t>0520115240</t>
  </si>
  <si>
    <t xml:space="preserve">    Коммунальное хозяйство</t>
  </si>
  <si>
    <t>0502</t>
  </si>
  <si>
    <t xml:space="preserve">        Подпрограмма "Строительство объектов капитального строительства"</t>
  </si>
  <si>
    <t>0320000000</t>
  </si>
  <si>
    <t xml:space="preserve">          Газификация населенных пунктов на территории Невьянского городского округа</t>
  </si>
  <si>
    <t>0320213050</t>
  </si>
  <si>
    <t xml:space="preserve">          Подключение (технологическое присоединение) газоиспользующего оборудования и объектов капитального строительства к сети газораспределения</t>
  </si>
  <si>
    <t>0320213060</t>
  </si>
  <si>
    <t xml:space="preserve">          Проведение работ по корректировке расчетных схем газоснабжения на территории Невьянского городского округа</t>
  </si>
  <si>
    <t>0320213110</t>
  </si>
  <si>
    <t xml:space="preserve">        Подпрограмма "Реконструкция, модернизация, ремонт систем коммунальной инфраструктуры, а также объектов обезвреживания и захоронения твердых бытовых отходов"</t>
  </si>
  <si>
    <t>0510000000</t>
  </si>
  <si>
    <t xml:space="preserve">          Строительство линейного объекта "Система водоотведения п.Таватуй Невьянского городского округа"</t>
  </si>
  <si>
    <t>0510115081</t>
  </si>
  <si>
    <t xml:space="preserve">          Проектирование строительства новых источников питьевого водоснабжения, теплоснабжения и инженерных сооружений газо-, водо-, электроснабжения, водоотведения, теплоснабжения</t>
  </si>
  <si>
    <t>0510115150</t>
  </si>
  <si>
    <t xml:space="preserve">          Обеспечение технологического присоединения энергопринимающих устройств к системам электроснабжения, поставка электрической энергии для обеспечения пуско-наладочных работ</t>
  </si>
  <si>
    <t>0510115180</t>
  </si>
  <si>
    <t xml:space="preserve">          Организация санитарно-защитных зон муниципальных водозаборов</t>
  </si>
  <si>
    <t>0510115190</t>
  </si>
  <si>
    <t xml:space="preserve">          Проектирование реконструкции, модернизации существующих объектов инженерной инфраструктуры Невьянского городского округа</t>
  </si>
  <si>
    <t>0510115720</t>
  </si>
  <si>
    <t xml:space="preserve">          Предоставление субсидий на создание и (или) реконструкцию объектов концессионного соглашения</t>
  </si>
  <si>
    <t>0510115730</t>
  </si>
  <si>
    <t xml:space="preserve">          Реконструкция и модернизация очистных сооружений водоподготовки, сооружений очистки сточных вод и строительство отдельных узлов и объектов системы водоотведения</t>
  </si>
  <si>
    <t>0510115750</t>
  </si>
  <si>
    <t xml:space="preserve">          Строительство, реконструкция, модернизация объектов водоснабжения на территории Невьянского городского округа</t>
  </si>
  <si>
    <t>0510115820</t>
  </si>
  <si>
    <t xml:space="preserve">          Осуществление государственного полномочия по предоставлению гражданам, проживающим на территории Невьянского городского округа Свердловской области, мер социальной поддержки по частичному освобождению от платы за коммунальные услуги</t>
  </si>
  <si>
    <t>0520142700</t>
  </si>
  <si>
    <t xml:space="preserve">        Подпрограмма "Энергосбережение и повышение энергетической эффективности в Невьянском городском округе" на 2020-2027 годы"</t>
  </si>
  <si>
    <t>0530000000</t>
  </si>
  <si>
    <t xml:space="preserve">          Строительство, реконструкция,  ремонт муниципальных сетей коммунальной инфраструктуры и приобретение оборудования, запорной арматуры,  материалов с целью подготовки муниципальной инженерной инфраструктуры к осенне-зимнему периоду</t>
  </si>
  <si>
    <t>0530115310</t>
  </si>
  <si>
    <t xml:space="preserve">          Капитальный, текущий ремонт муниципальных котельных к осенне-зимнему периоду</t>
  </si>
  <si>
    <t>0530115330</t>
  </si>
  <si>
    <t xml:space="preserve">          Реализация муниципальных программ по модернизации систем коммунальной инфраструктуры муниципальных образований Свердловской области за счет средств, поступивших от публично-правовой компании "Фонд развития территорий"</t>
  </si>
  <si>
    <t>0530149506</t>
  </si>
  <si>
    <t xml:space="preserve">          Обеспечение реализации муниципальных программ по модернизации систем коммунальной инфраструктуры муниципальных образований Свердловской области</t>
  </si>
  <si>
    <t>0530149606</t>
  </si>
  <si>
    <t xml:space="preserve">          Обеспечение мероприятий по модернизации систем коммунальной инфраструктуры</t>
  </si>
  <si>
    <t>05301S9605</t>
  </si>
  <si>
    <t xml:space="preserve">          Мероприятия в сфере обращения с твердыми коммунальными отходами</t>
  </si>
  <si>
    <t>0540115560</t>
  </si>
  <si>
    <t xml:space="preserve">        Подпрограмма "Экологическая безопасность Невьянского городского округа"</t>
  </si>
  <si>
    <t>0560000000</t>
  </si>
  <si>
    <t xml:space="preserve">          Мониторинг состояния и загрязнения окружающей среды на территориях объектов размещения отходов</t>
  </si>
  <si>
    <t>0560115680</t>
  </si>
  <si>
    <t xml:space="preserve">          Проведение комплекса мероприятий по улучшению экологической обстановки и эксплуатационных характеристик на действующем полигоне ТБО</t>
  </si>
  <si>
    <t>0560115П01</t>
  </si>
  <si>
    <t xml:space="preserve">          Расходы по исполнению муниципальных гарантий Невьянского городского округа</t>
  </si>
  <si>
    <t>7000104000</t>
  </si>
  <si>
    <t xml:space="preserve">            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</si>
  <si>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840</t>
  </si>
  <si>
    <t xml:space="preserve">    Благоустройство</t>
  </si>
  <si>
    <t>0503</t>
  </si>
  <si>
    <t xml:space="preserve">          Энергосбережение и повышение энергетической эффективности использования энергетических ресурсов при эксплуатации объектов наружного (уличного) освещения на территории Невьянского городского округа</t>
  </si>
  <si>
    <t>0530115800</t>
  </si>
  <si>
    <t>0530142Б00</t>
  </si>
  <si>
    <t>05301S2Б00</t>
  </si>
  <si>
    <t xml:space="preserve">          Ремонт пешеходных мостовых сооружений и обустройство плотов</t>
  </si>
  <si>
    <t>0540115420</t>
  </si>
  <si>
    <t xml:space="preserve">          Ремонт и обустройство тротуаров на территории Невьянского городского округа</t>
  </si>
  <si>
    <t>0540115430</t>
  </si>
  <si>
    <t xml:space="preserve">          Вырубка и подрезка деревьев с вывозом порубочных остатков</t>
  </si>
  <si>
    <t>0540115450</t>
  </si>
  <si>
    <t xml:space="preserve">          Обустройство новогоднего городка</t>
  </si>
  <si>
    <t>0540115460</t>
  </si>
  <si>
    <t xml:space="preserve">          Организация и обслуживание уличного освещения (включая оплату потребляемой электрической энергии)</t>
  </si>
  <si>
    <t>0540115470</t>
  </si>
  <si>
    <t xml:space="preserve">          Оказание услуг (выполнение работ) по благоустройству территории Невьянского городского округа</t>
  </si>
  <si>
    <t>0540115480</t>
  </si>
  <si>
    <t xml:space="preserve">          Мероприятия по озеленению</t>
  </si>
  <si>
    <t>0540115490</t>
  </si>
  <si>
    <t xml:space="preserve">        Подпрограмма "Организация ритуальных услуг и содержание мест захоронения"</t>
  </si>
  <si>
    <t>0550000000</t>
  </si>
  <si>
    <t xml:space="preserve">          Оказание услуг (выполнение работ) по содержанию мест захоронения на территории Невьянского городского округа</t>
  </si>
  <si>
    <t>0550115600</t>
  </si>
  <si>
    <t xml:space="preserve">          Организация санитарно-защитных зон муниципальных кладбищ</t>
  </si>
  <si>
    <t>0550115930</t>
  </si>
  <si>
    <t>1400000000</t>
  </si>
  <si>
    <t xml:space="preserve">        Подпрограмма "Комплексное благоустройство дворовых территорий Невьянского городского округа"</t>
  </si>
  <si>
    <t>1410000000</t>
  </si>
  <si>
    <t xml:space="preserve">          Предоставление субсидии на содержание дворовых территорий благоустроенных за счет средств местного бюджета, а также в рамках программы 1000 дворов</t>
  </si>
  <si>
    <t>1410115405</t>
  </si>
  <si>
    <t xml:space="preserve">        Подпрограмма "Комплексное благоустройство общественных территорий Невьянского городского округа"</t>
  </si>
  <si>
    <t>1420000000</t>
  </si>
  <si>
    <t xml:space="preserve">          Содержание общественных территорий благоустроенных в рамках реализации национального проекта "Жилье и городская среда"</t>
  </si>
  <si>
    <t>1420215590</t>
  </si>
  <si>
    <t xml:space="preserve">          Комплексное благоустройство общественных территорий Невьянского городского округа</t>
  </si>
  <si>
    <t>142F215520</t>
  </si>
  <si>
    <t xml:space="preserve">          Реализация проектов по благоустройству общественных территорий Невьянского городского округа</t>
  </si>
  <si>
    <t>142F215530</t>
  </si>
  <si>
    <t xml:space="preserve">          Проектирование комплексного благоустройства общественных территорий Невьянского городского округа</t>
  </si>
  <si>
    <t>142F215540</t>
  </si>
  <si>
    <t xml:space="preserve">          Благоустройство общественной территории "Калейдоскоп времен. Концепция развития набережной вдоль ул.Советской, г.Невьянск, Свердловская область"</t>
  </si>
  <si>
    <t>142F2S4240</t>
  </si>
  <si>
    <t xml:space="preserve">    Другие вопросы в области жилищно-коммунального хозяйства</t>
  </si>
  <si>
    <t>0505</t>
  </si>
  <si>
    <t xml:space="preserve">          Разработка топливно-энергетического баланса Невьянского городского округа за предшествующий год и анализ существующей динамики объемов потребления ТЭР</t>
  </si>
  <si>
    <t>0530115360</t>
  </si>
  <si>
    <t xml:space="preserve">          Актуализация схем тепло-, водоснабжения и водоотведения Невьянского городского округа</t>
  </si>
  <si>
    <t>0530115370</t>
  </si>
  <si>
    <t xml:space="preserve">          Организация  бытового обслуживания населения в части обеспечения услугами банного комплекса</t>
  </si>
  <si>
    <t>0530115390</t>
  </si>
  <si>
    <t xml:space="preserve">          Оказание услуг (выполнение работ)  муниципальным бюджетным учреждением "Управление хозяйством Невьянского городского округа"</t>
  </si>
  <si>
    <t>0540115510</t>
  </si>
  <si>
    <t xml:space="preserve">          Расходы на финансовое обеспечение выполнения функций муниципальным казенным учреждением</t>
  </si>
  <si>
    <t>0540115580</t>
  </si>
  <si>
    <t xml:space="preserve">  ОХРАНА ОКРУЖАЮЩЕЙ СРЕДЫ</t>
  </si>
  <si>
    <t>0600</t>
  </si>
  <si>
    <t xml:space="preserve">    Сбор, удаление отходов и очистка сточных вод</t>
  </si>
  <si>
    <t>0602</t>
  </si>
  <si>
    <t xml:space="preserve">          Утилизация ртутных ламп</t>
  </si>
  <si>
    <t>0560115690</t>
  </si>
  <si>
    <t xml:space="preserve">    Охрана объектов растительного и животного мира и среды их обитания</t>
  </si>
  <si>
    <t>0603</t>
  </si>
  <si>
    <t xml:space="preserve">          Обеспечение населения питьевой водой стандартного качества, реконструкция колодцев, обустройство родников и трубчатых колодцев (скважин)</t>
  </si>
  <si>
    <t>0560115630</t>
  </si>
  <si>
    <t xml:space="preserve">          Проведение биотехнических мероприятий по диким животным</t>
  </si>
  <si>
    <t>0560115640</t>
  </si>
  <si>
    <t>0560115650</t>
  </si>
  <si>
    <t xml:space="preserve">    Другие вопросы в области охраны окружающей среды</t>
  </si>
  <si>
    <t>0605</t>
  </si>
  <si>
    <t xml:space="preserve">          Оказание услуг (выполнение работ) в области экологической и природоохранной деятельности</t>
  </si>
  <si>
    <t>0560115610</t>
  </si>
  <si>
    <t xml:space="preserve">          Обеспечение проведения мероприятий, направленных на санитарную очистку и  утилизацию бытовых отходов (ликвидация несанкционированных свалок)</t>
  </si>
  <si>
    <t>0560115620</t>
  </si>
  <si>
    <t xml:space="preserve">          Проведение экологических акций</t>
  </si>
  <si>
    <t>0560115660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</si>
  <si>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</si>
  <si>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</si>
  <si>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</si>
  <si>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</si>
  <si>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Муниципальная программа "Развитие системы образования в Невьянском городском округе до 2027 года"</t>
  </si>
  <si>
    <t>0700000000</t>
  </si>
  <si>
    <t xml:space="preserve">        Подпрограмма "Развитие системы дошкольного образования в Невьянском городском округе"</t>
  </si>
  <si>
    <t>0710000000</t>
  </si>
  <si>
    <t xml:space="preserve">         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оплату труда работников дошкольных образовательных организаций</t>
  </si>
  <si>
    <t>0710145110</t>
  </si>
  <si>
    <t xml:space="preserve">         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приобретение учебников и учебных пособий, средств обучения, игр, игрушек</t>
  </si>
  <si>
    <t>0710145120</t>
  </si>
  <si>
    <t xml:space="preserve">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 муниципальных общеобразовательных организациях в части финансирования расходов на оплату труда работников общеобразовательных организаций</t>
  </si>
  <si>
    <t>0710145310</t>
  </si>
  <si>
    <t xml:space="preserve">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расходов на приобретение учебников и учебных пособий, средств обучения, игр, игрушек</t>
  </si>
  <si>
    <t>0710145320</t>
  </si>
  <si>
    <t xml:space="preserve">          Организация предоставления дошкольного образования, создания условий для присмотра и ухода за детьми, содержания детей в муниципальных образовательных организациях</t>
  </si>
  <si>
    <t>0710167010</t>
  </si>
  <si>
    <t>0710167020</t>
  </si>
  <si>
    <t xml:space="preserve">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дошкольных учреждений</t>
  </si>
  <si>
    <t>0710167030</t>
  </si>
  <si>
    <t xml:space="preserve">    Общее образование</t>
  </si>
  <si>
    <t>0702</t>
  </si>
  <si>
    <t xml:space="preserve">        Подпрограмма "Развитие системы общего образования в Невьянском городском округе"</t>
  </si>
  <si>
    <t>0720000000</t>
  </si>
  <si>
    <t xml:space="preserve">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финансирования расходов на оплату труда  работников общеобразовательных организаций</t>
  </si>
  <si>
    <t>0720145310</t>
  </si>
  <si>
    <t xml:space="preserve">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расходов на  приобретение учебников и учебных пособий, средств обучения, игр, игрушек</t>
  </si>
  <si>
    <t>0720145320</t>
  </si>
  <si>
    <t xml:space="preserve">          Финансовое обеспечение расходов на осуществление мероприятий по организации питания в муниципальных общеобразовательных учреждениях</t>
  </si>
  <si>
    <t>0720145400</t>
  </si>
  <si>
    <t xml:space="preserve">          Создание в муниципальных общеобразовательных организациях условий для организации горячего питания обучающихся</t>
  </si>
  <si>
    <t>0720145410</t>
  </si>
  <si>
    <t xml:space="preserve">          Организация предоставления общего образования и создание условий для содержания детей в муниципальных общеобразовательных организациях</t>
  </si>
  <si>
    <t>0720167200</t>
  </si>
  <si>
    <t>0720167210</t>
  </si>
  <si>
    <t xml:space="preserve">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общеобразовательных учреждений</t>
  </si>
  <si>
    <t>0720167250</t>
  </si>
  <si>
    <t xml:space="preserve">          Премии главы Невьянского городского округа для обучающихся и педагогических работников образовательных организаций, расположенных на территории Невьянского городского округа</t>
  </si>
  <si>
    <t>0720167280</t>
  </si>
  <si>
    <t xml:space="preserve">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</si>
  <si>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07201L3030</t>
  </si>
  <si>
    <t xml:space="preserve">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</si>
  <si>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07201L3040</t>
  </si>
  <si>
    <t>07201S5410</t>
  </si>
  <si>
    <t xml:space="preserve">         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организациях, расположенных в сельской местности и малых городах</t>
  </si>
  <si>
    <t>072E167270</t>
  </si>
  <si>
    <t xml:space="preserve">        Подпрограмма "Развитие системы дополнительного образования, отдыха и оздоровления детей в Невьянском городском округе"</t>
  </si>
  <si>
    <t>0730000000</t>
  </si>
  <si>
    <t xml:space="preserve">          Обеспечение безопасных условий функционирования муниципальных образовательных учреждений Невьянского городского округа в целях минимизации экстремистских и террористических проявлений</t>
  </si>
  <si>
    <t>0930119180</t>
  </si>
  <si>
    <t xml:space="preserve">          Создание и оборудование кабинетов "Светофор" в образовательных учреждениях</t>
  </si>
  <si>
    <t>1500119330</t>
  </si>
  <si>
    <t xml:space="preserve">    Дополнительное образование детей</t>
  </si>
  <si>
    <t>0703</t>
  </si>
  <si>
    <t xml:space="preserve">          Организация предоставления дополнительного образования детей в муниципальных организациях дополнительного образования</t>
  </si>
  <si>
    <t>0730167300</t>
  </si>
  <si>
    <t xml:space="preserve">          Обеспечение персонифицированного финансирования дополнительного образования</t>
  </si>
  <si>
    <t>0730167340</t>
  </si>
  <si>
    <t xml:space="preserve">        Подпрограмма "Развитие дополнительного образования в области искусства"</t>
  </si>
  <si>
    <t>0830000000</t>
  </si>
  <si>
    <t xml:space="preserve">          Обеспечение меры социальной поддержки по бесплатному получению художественного образования в муниципальных учреждениях дополнительного образования, в том числе в домах детского творчества, детских школах искусств, детям-сиротам, детям, оставшимся без попечения родителей, и иным категориям несовершеннолетних граждан, нуждающихся в социальной поддержке</t>
  </si>
  <si>
    <t>0830146600</t>
  </si>
  <si>
    <t xml:space="preserve">          Организация и обеспечение деятельности  муниципальных учреждений дополнительного образования в области искусства</t>
  </si>
  <si>
    <t>0830188320</t>
  </si>
  <si>
    <t xml:space="preserve">          Текущий и капитальный ремонт зданий и помещений, в которых размещаются муниципальные организации дополнительного образования в сфере искусств, включая разработку и экспертизу проектно-сметной документации и технической документации</t>
  </si>
  <si>
    <t>0830188330</t>
  </si>
  <si>
    <t xml:space="preserve">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учреждений дополнительного образования в области искусства</t>
  </si>
  <si>
    <t>0830188350</t>
  </si>
  <si>
    <t xml:space="preserve">    Молодежная политика</t>
  </si>
  <si>
    <t>0707</t>
  </si>
  <si>
    <t xml:space="preserve">        Подпрограмма "Профилактика заболеваний и формирование здорового образа жизни"</t>
  </si>
  <si>
    <t>0920000000</t>
  </si>
  <si>
    <t xml:space="preserve">          Проведение мероприятий по профилактике заболеваний ВИЧ/СПИД</t>
  </si>
  <si>
    <t>0920119010</t>
  </si>
  <si>
    <t xml:space="preserve">          Проведение мероприятий по противодействию злоупотребления наркотиками</t>
  </si>
  <si>
    <t>0920119040</t>
  </si>
  <si>
    <t xml:space="preserve">          Содействие в проведении мероприятий по предотвращению асоциальных явлений</t>
  </si>
  <si>
    <t>0920119090</t>
  </si>
  <si>
    <t xml:space="preserve">      Муниципальная программа "Развитие физической культуры, спорта и молодежной политики в Невьянском городском округе до 2027 года"</t>
  </si>
  <si>
    <t>1100000000</t>
  </si>
  <si>
    <t xml:space="preserve">        Подпрограмма "Молодежь Невьянского городского округа"</t>
  </si>
  <si>
    <t>1110000000</t>
  </si>
  <si>
    <t xml:space="preserve">          Реализация  мероприятий  по работе с молодежью на территории Невьянского городского округа</t>
  </si>
  <si>
    <t>1110119700</t>
  </si>
  <si>
    <t xml:space="preserve">          Реализация практик поддержки и развития добровольчества (волонтерства)</t>
  </si>
  <si>
    <t>1110119705</t>
  </si>
  <si>
    <t xml:space="preserve">          Обеспечение деятельности муниципальных учреждений по работе с молодежью</t>
  </si>
  <si>
    <t>1110119710</t>
  </si>
  <si>
    <t xml:space="preserve">          Содействие в трудоустройстве в летний период молодежи и подростков, для выполнения работ по благоустройству и озеленению городского округа</t>
  </si>
  <si>
    <t>1110119840</t>
  </si>
  <si>
    <t xml:space="preserve">          Создание и обеспечение деятельности молодежных "коворкинг-центров"</t>
  </si>
  <si>
    <t>1110148600</t>
  </si>
  <si>
    <t>11101S8600</t>
  </si>
  <si>
    <t xml:space="preserve">        Подпрограмма "Патриотическое воспитание и подготовка к военной службе молодежи в Невьянском городском округе" на 2020 - 2027 годы"</t>
  </si>
  <si>
    <t>1120000000</t>
  </si>
  <si>
    <t xml:space="preserve">          Мероприятия по  патриотическому воспитанию  граждан</t>
  </si>
  <si>
    <t>1120119730</t>
  </si>
  <si>
    <t xml:space="preserve">          Мероприятия по подготовке молодежи к военной службе</t>
  </si>
  <si>
    <t>1120119740</t>
  </si>
  <si>
    <t xml:space="preserve">          Организация военно-патриотического воспитания и допризывной подготовки молодых граждан</t>
  </si>
  <si>
    <t>1120148700</t>
  </si>
  <si>
    <t xml:space="preserve">          Организация и проведение военно-спортивных игр, военно-спортивных мероприятий</t>
  </si>
  <si>
    <t>11201S8700</t>
  </si>
  <si>
    <t xml:space="preserve">          Проведение мероприятий по профилактике безопасности дорожного движения</t>
  </si>
  <si>
    <t>1500119300</t>
  </si>
  <si>
    <t xml:space="preserve">    Другие вопросы в области образования</t>
  </si>
  <si>
    <t>0709</t>
  </si>
  <si>
    <t xml:space="preserve">          Субвенции местным бюджетам на осуществление государственных полномочий Свердловской области по организации и обеспечению отдыха и оздоровления детей (за исключением детей-сирот и детей, оставшихся без попечения родителей, детей, находящихся в трудной жизненной ситуации) в учебное время, включая мероприятия по обеспечению безопасности их жизни и здоровья</t>
  </si>
  <si>
    <t>0730145500</t>
  </si>
  <si>
    <t xml:space="preserve">          Организация отдыха детей в каникулярное время</t>
  </si>
  <si>
    <t>0730145600</t>
  </si>
  <si>
    <t xml:space="preserve">          Организация отдыха детей в каникулярное время за счет средств местного бюджета</t>
  </si>
  <si>
    <t>07301S5600</t>
  </si>
  <si>
    <t xml:space="preserve">        Подпрограмма "Обеспечение реализации муниципальной программы "Развитие муниципальной системы образования в Невьянском городском округе до 2027 года"</t>
  </si>
  <si>
    <t>0740000000</t>
  </si>
  <si>
    <t xml:space="preserve">          Обеспечение деятельности муниципального органа</t>
  </si>
  <si>
    <t>0740111040</t>
  </si>
  <si>
    <t xml:space="preserve">          Обеспечение деятельности подведомственных учреждений, обеспечивающих предоставление услуг в сфере образования</t>
  </si>
  <si>
    <t>0740167400</t>
  </si>
  <si>
    <t xml:space="preserve">  КУЛЬТУРА, КИНЕМАТОГРАФИЯ</t>
  </si>
  <si>
    <t>0800</t>
  </si>
  <si>
    <t xml:space="preserve">    Культура</t>
  </si>
  <si>
    <t>0801</t>
  </si>
  <si>
    <t xml:space="preserve">          Обеспечение сохранения и использования объектов культурного наследия, находящегося в казне Невьянского городского округа</t>
  </si>
  <si>
    <t>0610113300</t>
  </si>
  <si>
    <t xml:space="preserve">          Разработка научно-проектной документации по обеспечению сохранения объектов культурного наследия, в которых размещаются образовательные учреждения, включая расходы на проведение госэкспертизы</t>
  </si>
  <si>
    <t>0720167220</t>
  </si>
  <si>
    <t xml:space="preserve">        Подпрограмма "Развитие культуры в Невьянском городском округе" на 2020-2027 годы</t>
  </si>
  <si>
    <t>0820000000</t>
  </si>
  <si>
    <t xml:space="preserve">          Организация  библиотечного обслуживания населения, формирование и хранение библиотечных фондов  муниципальных библиотек</t>
  </si>
  <si>
    <t>0820188100</t>
  </si>
  <si>
    <t xml:space="preserve">          Организация  и обеспечение деятельности учреждений культуры и искусства культурно-досуговой сферы</t>
  </si>
  <si>
    <t>0820188110</t>
  </si>
  <si>
    <t xml:space="preserve">          Обеспечение мероприятий по укреплению и развитию материально - технической базы муниципальных библиотек</t>
  </si>
  <si>
    <t>0820188120</t>
  </si>
  <si>
    <t xml:space="preserve">          Мероприятия по восстановлению памятников воинской славы</t>
  </si>
  <si>
    <t>0820188140</t>
  </si>
  <si>
    <t xml:space="preserve">          Общегородские мероприятия в сфере культуры и искусства</t>
  </si>
  <si>
    <t>0820188150</t>
  </si>
  <si>
    <t xml:space="preserve">          Выплата премий   в области культуры</t>
  </si>
  <si>
    <t>0820188160</t>
  </si>
  <si>
    <t xml:space="preserve">          Проведение мероприятий с участием главы Невьянского городского округа</t>
  </si>
  <si>
    <t>0820188170</t>
  </si>
  <si>
    <t xml:space="preserve">          Участие в международных проектах и программах Урало-Сибирской федерации ассоциации центров и клубов ЮНЕСКО</t>
  </si>
  <si>
    <t>0820188190</t>
  </si>
  <si>
    <t xml:space="preserve">          Текущий и капитальный ремонт зданий и помещений, в которых размещаются муниципальные учреждения культуры, приведение в соответствие с требованиями пожарной безопасности и санитарного законодательства, разработка проектно-сметной и технической документации</t>
  </si>
  <si>
    <t>0820188210</t>
  </si>
  <si>
    <t xml:space="preserve">          Информатизация муниципальных библиотек, в том числе комплектование книжных фондов (включая приобретение электронных версий книг и приобретение (подписку) периодических изданий), приобретение компьютерного оборудования и лицензионного программного обеспечения, подключение муниципальных библиотек к сети Интернет</t>
  </si>
  <si>
    <t>0820188220</t>
  </si>
  <si>
    <t xml:space="preserve">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учреждений культуры</t>
  </si>
  <si>
    <t>0820188230</t>
  </si>
  <si>
    <t xml:space="preserve">          Модернизация государственных и муниципальных общедоступных библиотек Свердловской области в части комплектования книжных фондов</t>
  </si>
  <si>
    <t>08201L5190</t>
  </si>
  <si>
    <t xml:space="preserve">        Подпрограмма "Создание доступной среды для инвалидов и других маломобильных групп населения на территории Невьянского городского округа до 2027 года"</t>
  </si>
  <si>
    <t>1250000000</t>
  </si>
  <si>
    <t xml:space="preserve">          Установка пандусов в муниципальных организациях Невьянского городского округа</t>
  </si>
  <si>
    <t>1250188430</t>
  </si>
  <si>
    <t xml:space="preserve">    Другие вопросы в области культуры, кинематографии</t>
  </si>
  <si>
    <t>0804</t>
  </si>
  <si>
    <t xml:space="preserve">        Подпрограмма "Обеспечение реализации программы " Развитие культуры и туризма в Невьянском городском округе до 2027 года"</t>
  </si>
  <si>
    <t>0840000000</t>
  </si>
  <si>
    <t xml:space="preserve">          Обеспечение деятельности учреждений культуры</t>
  </si>
  <si>
    <t>0840188410</t>
  </si>
  <si>
    <t xml:space="preserve">  ЗДРАВООХРАНЕНИЕ</t>
  </si>
  <si>
    <t>0900</t>
  </si>
  <si>
    <t xml:space="preserve">    Другие вопросы в области здравоохранения</t>
  </si>
  <si>
    <t>0909</t>
  </si>
  <si>
    <t xml:space="preserve">          Вакцинопрофилактика</t>
  </si>
  <si>
    <t>0920119080</t>
  </si>
  <si>
    <t xml:space="preserve">          Приобретение продуктовых наборов для социально-незащищенных слоев населения, больных туберкулезом с целью привлечения их к лечению</t>
  </si>
  <si>
    <t>0920119120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</si>
  <si>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</si>
  <si>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</si>
  <si>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</si>
  <si>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</si>
  <si>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Муниципальная программа "Социальная поддержка и социальное обслуживание населения Невьянского городского округа до 2027 года"</t>
  </si>
  <si>
    <t>1000000000</t>
  </si>
  <si>
    <t xml:space="preserve">        Подпрограмма "Дополнительные меры социальной поддержки населения Невьянского городского округа на 2020 -2027 годы"</t>
  </si>
  <si>
    <t>1010000000</t>
  </si>
  <si>
    <t xml:space="preserve">          Осуществление гарантий по пенсионному обеспечению муниципальных служащих</t>
  </si>
  <si>
    <t>1010110060</t>
  </si>
  <si>
    <t xml:space="preserve">            Социальные выплаты гражданам, кроме публичных нормативных социальных выплат</t>
  </si>
  <si>
    <t>320</t>
  </si>
  <si>
    <t xml:space="preserve">    Социальное обслуживание населения</t>
  </si>
  <si>
    <t>1002</t>
  </si>
  <si>
    <t xml:space="preserve">        Подпрограмма "Поддержка социально ориентированных некоммерческих организаций в Невьянском городском округе на 2020 - 2027 годы"</t>
  </si>
  <si>
    <t>1240000000</t>
  </si>
  <si>
    <t xml:space="preserve">          Оказание услуг (выполнение работ) муниципальным бюджетным учреждением "Ветеран"</t>
  </si>
  <si>
    <t>1240110420</t>
  </si>
  <si>
    <t xml:space="preserve">    Социальное обеспечение населения</t>
  </si>
  <si>
    <t>1003</t>
  </si>
  <si>
    <t xml:space="preserve">          Предоставление материальной помощи гражданам, оказавшимся в трудной жизненной ситуации</t>
  </si>
  <si>
    <t>1010110310</t>
  </si>
  <si>
    <t xml:space="preserve">            Публичные нормативные социальные выплаты гражданам</t>
  </si>
  <si>
    <t>310</t>
  </si>
  <si>
    <t xml:space="preserve">          Ежемесячные выплаты денежного вознаграждения Почетным гражданам  Невьянского городского округа, оплата иных услуг</t>
  </si>
  <si>
    <t>1010110330</t>
  </si>
  <si>
    <t xml:space="preserve">        Подпрограмма "Адресная поддержка населения Невьянского городского округа" на 2020 - 2027 годы"</t>
  </si>
  <si>
    <t>1020000000</t>
  </si>
  <si>
    <t xml:space="preserve">         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гражданам субсидий на оплату жилого помещения и коммунальных услуг"</t>
  </si>
  <si>
    <t>1020149100</t>
  </si>
  <si>
    <t xml:space="preserve">         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отдельным категориям граждан компенсаций расходов на оплату жилого помещения и коммунальных услуг"</t>
  </si>
  <si>
    <t>1020149200</t>
  </si>
  <si>
    <t xml:space="preserve">          Осуществление государственного полномочия Российской Федерации по предоставлению отдельным категориям граждан компенсаций расходов на оплату жилого помещения и коммунальных услуг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Российской Федерации по предоставлению мер социальной поддержки по оплате жилого помещения и коммунальных услуг"</t>
  </si>
  <si>
    <t>1020152500</t>
  </si>
  <si>
    <t xml:space="preserve">          Осуществление государственного полномочия Свердловской области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отдельным категориям граждан компенсаций расходов на оплату жилого помещения и коммунальных услуг" в части компенсации отдельным категориям граждан оплаты взносов на капитальный ремонт общего имущества в многоквартирном доме</t>
  </si>
  <si>
    <t>10201R4620</t>
  </si>
  <si>
    <t xml:space="preserve">        Подпрограмма "Комплексное развитие сельских территорий Невьянского городского округа" на 2020 - 2027 годы"</t>
  </si>
  <si>
    <t>1210000000</t>
  </si>
  <si>
    <t xml:space="preserve">          Улучшение жилищных условий граждан, проживающих на сельских территориях, на условиях софинансирования из федерального бюджета</t>
  </si>
  <si>
    <t xml:space="preserve">          Улучшение жилищных условий граждан, проживающих на сельских территориях</t>
  </si>
  <si>
    <t>12101S5762</t>
  </si>
  <si>
    <t xml:space="preserve">    Охрана семьи и детства</t>
  </si>
  <si>
    <t>1004</t>
  </si>
  <si>
    <t xml:space="preserve">        Подпрограмма "Предоставление социальных выплат молодым семьям на приобретение (строительство) жилья на территории Невьянского городского округа "</t>
  </si>
  <si>
    <t>0630000000</t>
  </si>
  <si>
    <t xml:space="preserve">          Предоставление социальных выплат молодым семьям на приобретение (строительство) жилья на условиях софинансирования из федерального бюджета</t>
  </si>
  <si>
    <t>06301L4970</t>
  </si>
  <si>
    <t xml:space="preserve">        Подпрограмма "Предоставление региональных социальных выплат молодым семьям на улучшение жилищных условий на территории Невьянского городского округа"</t>
  </si>
  <si>
    <t>0640000000</t>
  </si>
  <si>
    <t xml:space="preserve">          Предоставление региональных социальных выплат молодым семьям на улучшение жилищных условий</t>
  </si>
  <si>
    <t>06401S9500</t>
  </si>
  <si>
    <t xml:space="preserve">    Другие вопросы в области социальной политики</t>
  </si>
  <si>
    <t>1006</t>
  </si>
  <si>
    <t xml:space="preserve">          Ежегодная выплата премии Главы Невьянского городского округа лицам, награжденным Почетным знаком Всероссийской организации ветеранов войны и труда, вооруженных сил и правоохранительных органов</t>
  </si>
  <si>
    <t>1010110340</t>
  </si>
  <si>
    <t xml:space="preserve">          Организация социально значимых мероприятий для граждан, нуждающихся в дополнительных мерах социальной поддержки</t>
  </si>
  <si>
    <t>1010110350</t>
  </si>
  <si>
    <t xml:space="preserve">          Предоставление субсидии на поддержку социально ориентированных некоммерческих организаций, расположенных на территории Невьянского городского округа</t>
  </si>
  <si>
    <t>1240110410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</si>
  <si>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</si>
  <si>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</si>
  <si>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</si>
  <si>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</si>
  <si>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  Подпрограмма "Развитие дополнительного образования в области физической культуры и спорта"</t>
  </si>
  <si>
    <t>1130000000</t>
  </si>
  <si>
    <t xml:space="preserve">          Организация предоставления дополнительного образования детей в муниципальных организациях дополнительного образования спортивной направленности</t>
  </si>
  <si>
    <t>1130119750</t>
  </si>
  <si>
    <t xml:space="preserve">          Капитальный ремонт, текущий и (или) развитие материально-технической базы муниципальных организаций дополнительного образования</t>
  </si>
  <si>
    <t>1130119760</t>
  </si>
  <si>
    <t xml:space="preserve">          Развитие инфраструктуры объектов спорта</t>
  </si>
  <si>
    <t>1130119770</t>
  </si>
  <si>
    <t xml:space="preserve">    Массовый спорт</t>
  </si>
  <si>
    <t>1102</t>
  </si>
  <si>
    <t xml:space="preserve">        Подпрограмма "Развитие физической культуры, спорта на  территории  Невьянского городского округа"</t>
  </si>
  <si>
    <t>1140000000</t>
  </si>
  <si>
    <t xml:space="preserve">          Развитие материально-технической базы муниципальных организаций физической культуры и спорта и (или) текущий, капитальный ремонт</t>
  </si>
  <si>
    <t>1140119780</t>
  </si>
  <si>
    <t xml:space="preserve">          Организация и проведение физкультурно-оздоровительных и спортивно-массовых мероприятий</t>
  </si>
  <si>
    <t>1140119790</t>
  </si>
  <si>
    <t xml:space="preserve">          Обеспечение деятельности муниципальных учреждений физической культуры и спорта</t>
  </si>
  <si>
    <t>1140119800</t>
  </si>
  <si>
    <t xml:space="preserve">          Реализация мероприятий по поэтапному внедрению Всероссийского физкультурно-спортивного комплекса "Готов к труду и обороне" (ГТО)</t>
  </si>
  <si>
    <t>114P548Г00</t>
  </si>
  <si>
    <t>114P5S8Г00</t>
  </si>
  <si>
    <t xml:space="preserve">    Спорт высших достижений</t>
  </si>
  <si>
    <t>1103</t>
  </si>
  <si>
    <t xml:space="preserve">  СРЕДСТВА МАССОВОЙ ИНФОРМАЦИИ</t>
  </si>
  <si>
    <t>1200</t>
  </si>
  <si>
    <t xml:space="preserve">    Телевидение и радиовещание</t>
  </si>
  <si>
    <t>1201</t>
  </si>
  <si>
    <t xml:space="preserve">          Оказание услуг (выполнение работ) муниципальным автономным учреждением "Невьянская телестудия"</t>
  </si>
  <si>
    <t>0910213530</t>
  </si>
  <si>
    <t xml:space="preserve">    Периодическая печать и издательства</t>
  </si>
  <si>
    <t>1202</t>
  </si>
  <si>
    <t xml:space="preserve">    Другие вопросы в области средств массовой информации</t>
  </si>
  <si>
    <t>1204</t>
  </si>
  <si>
    <t xml:space="preserve">          Обеспечение муниципальных нужд в осуществлении распространения материалов по освещению деятельности органов местного самоуправления Невьянского городского округа и социально значимым вопросам в печатных изданиях, распространяемых на территории Невьянского городского округа</t>
  </si>
  <si>
    <t>0910213560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</si>
  <si>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</si>
  <si>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</si>
  <si>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</si>
  <si>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</si>
  <si>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Подпрограмма "Управление муниципальным долгом"</t>
  </si>
  <si>
    <t>1320000000</t>
  </si>
  <si>
    <t xml:space="preserve">          Исполнение обязательств по обслуживанию муниципального долга Невьянского городского округа в соответствии с программой муниципальных заимствований Невьянского городского округа и заключенными контрактами (соглашениями)</t>
  </si>
  <si>
    <t>132017И210</t>
  </si>
  <si>
    <t xml:space="preserve">            Обслуживание муниципального долга</t>
  </si>
  <si>
    <t>730</t>
  </si>
  <si>
    <t>Всего расходов</t>
  </si>
  <si>
    <t>Приложение № 4</t>
  </si>
  <si>
    <t>на 2024 год и плановый период 2025 и 2026 годов»</t>
  </si>
  <si>
    <t>Код раздела, подраз-дела</t>
  </si>
  <si>
    <t>к решению Думы Невьянского городского округа</t>
  </si>
  <si>
    <t>0320113120</t>
  </si>
  <si>
    <t xml:space="preserve">          Строительство зданий муниципальных общеобразовательных организаций</t>
  </si>
  <si>
    <t xml:space="preserve">«О бюджете Невьянского городского округа </t>
  </si>
  <si>
    <t>Распределение бюджетных ассигнований по разделам, подразделам, целевым статьям  (муниципальным программам Невьянского городского округа и непрограммным направлениям деятельности), группам и подгруппам видов расходов классификации расходов бюджетов на 2024 год и   плановый период 2025 и 2026 годов</t>
  </si>
  <si>
    <t xml:space="preserve">        Подпрограмма "Применение практики инициативного бюджетирования на территории Невьянского городского округа до 2027 года"</t>
  </si>
  <si>
    <t xml:space="preserve">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учреждений дополнительного образования</t>
  </si>
  <si>
    <t>0730167330</t>
  </si>
  <si>
    <t xml:space="preserve">          Создание в образовательных организациях условий для получения детьми-инвалидами качественного образования</t>
  </si>
  <si>
    <t>0740167410</t>
  </si>
  <si>
    <t xml:space="preserve">          Текущий и капитальный ремонт зданий и помещений, в которых размещаются муниципальные учреждения по работе с молодежью, включая разработку проектно-сметной и технической документации</t>
  </si>
  <si>
    <t>1110119715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</si>
  <si>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</si>
  <si>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</si>
  <si>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</si>
  <si>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</si>
  <si>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</si>
  <si>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</si>
  <si>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</si>
  <si>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</si>
  <si>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</si>
  <si>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</si>
  <si>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</si>
  <si>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</si>
  <si>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</si>
  <si>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</si>
  <si>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</si>
  <si>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</si>
  <si>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ИТОГО</t>
  </si>
  <si>
    <t>ВСЕГО</t>
  </si>
  <si>
    <t>0407</t>
  </si>
  <si>
    <t xml:space="preserve">        Лесное хозяйство</t>
  </si>
  <si>
    <t xml:space="preserve">          Выполнение мероприятий по энергосбережению и повышению энергетической эффективности системы уличного освещения Невьянского городского округа</t>
  </si>
  <si>
    <t xml:space="preserve">         Выполнение мероприятий по энергосбережению и повышению энергетической эффективности системы уличного освещения Невьянского городского округа</t>
  </si>
  <si>
    <t xml:space="preserve">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</si>
  <si>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072EВ51790</t>
  </si>
  <si>
    <t>0730145610</t>
  </si>
  <si>
    <t xml:space="preserve">        Обеспечение отдыха отдельных категорий детей, проживающих на территории Свердловской области, в организациях отдыха детей и их оздоровления, расположенных на побережье Черного моря</t>
  </si>
  <si>
    <t>12101L5762</t>
  </si>
  <si>
    <t>0640149500</t>
  </si>
  <si>
    <t xml:space="preserve">       Предоставление региональных социальных выплат молодым семьям на улучшение жилищных условий</t>
  </si>
  <si>
    <t xml:space="preserve">       Инвентаризация кладбищ (разработка информационной системы, обеспечивающей инвентаризацию мест погребения и захоронения на кладбищах)  </t>
  </si>
  <si>
    <t>0550115605</t>
  </si>
  <si>
    <t>7000107000</t>
  </si>
  <si>
    <t xml:space="preserve">        Расходы по исполнению предписаний органов, осуществляющих финансовый контроль</t>
  </si>
  <si>
    <t>7000140700</t>
  </si>
  <si>
    <t xml:space="preserve">            Резервный фонд Правительства Свердловской области</t>
  </si>
  <si>
    <t>031F367483</t>
  </si>
  <si>
    <t xml:space="preserve">          Переселение граждан из аварийного жилищного фонда за счет средств, поступивших от публично-правовой компании "Фонд развития территорий"</t>
  </si>
  <si>
    <t xml:space="preserve">            Содействие в организации электро-, тепло-, газо- и водоснабжения, водоотведения, снабжения населения топливом</t>
  </si>
  <si>
    <t>0730167360</t>
  </si>
  <si>
    <t xml:space="preserve">          Обеспечение деятельности образовательных учреждений по осуществлению полномочий по организации отдыха детей в каникулярное время</t>
  </si>
  <si>
    <t>0730167310</t>
  </si>
  <si>
    <t>0720167230</t>
  </si>
  <si>
    <t xml:space="preserve">             Организация мероприятий по развитию материально-технической базы муниципальных образовательных организаций</t>
  </si>
  <si>
    <t>1500115300</t>
  </si>
  <si>
    <t>0210112022</t>
  </si>
  <si>
    <t xml:space="preserve">             Обучение населения способам защиты от опасностей и действиям при чрезвычайных ситуациях</t>
  </si>
  <si>
    <t>0410214250</t>
  </si>
  <si>
    <t xml:space="preserve">          Мероприятия, связанные с обеспечением транспортной безопасности объектов транспортной инфраструктуры дорожного хозяйства</t>
  </si>
  <si>
    <t>031F367484</t>
  </si>
  <si>
    <t xml:space="preserve">       Меры социальной поддержки гражданам Невьянского городского округа для соблюдения правил личной гигиены и санитарии</t>
  </si>
  <si>
    <t>0530115396</t>
  </si>
  <si>
    <t>0720145200</t>
  </si>
  <si>
    <t xml:space="preserve">           Обеспечение дополнительных гарантий по социальной поддержке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</t>
  </si>
  <si>
    <t xml:space="preserve">       Подпрограмма "Обеспечение реализации муниципальной программы "Развитие муниципальной системы образования в Невьянском городском округе до 2027 года"</t>
  </si>
  <si>
    <t>1260143100</t>
  </si>
  <si>
    <t xml:space="preserve">         Внедрение механизмов инициативного бюджетирования на территории Свердловской области: "Приобретение тренировочных спортивных костюмов"</t>
  </si>
  <si>
    <t xml:space="preserve">         Внедрение механизмов инициативного бюджетирования на территории Невьянского городского округа: "Приобретение тренировочных спортивных костюмов"</t>
  </si>
  <si>
    <t xml:space="preserve">      Муниципальная программа "Формирование современной городской среды на территории Невьянского городского округа в период 2020-2030 годы"</t>
  </si>
  <si>
    <t xml:space="preserve">          Финансовое обеспечение расходов на текущий и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муниципальные дошкольные учреждения, включая приобретение сопутствующих товаров (работ, услуг), разработка проектно-сметной и технической документации, госэкспертиза</t>
  </si>
  <si>
    <t xml:space="preserve">          Финансовое обеспечение расходов на текущий и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муниципальныe общеобразовательныe учреждения, включая приобретение сопутствующих товаров (работ, услуг), разработка проектно-сметной и технической документации, госэкспертиза</t>
  </si>
  <si>
    <t xml:space="preserve">          Комплекс противоэпидемических мероприятий, включая акарицидные и ларвицидные обработки, а также дератизацию на территории Невьянского городского округа</t>
  </si>
  <si>
    <t>7000110010</t>
  </si>
  <si>
    <t xml:space="preserve">           Предоставлениe субсидий муниципальным унитарным предприятиям Невьянского городского округа на погашение задолженности для завершения процедуры ликвидации и предотвращения банкротства</t>
  </si>
  <si>
    <t xml:space="preserve">          Предоставлениe субсидий муниципальным унитарным предприятиям Невьянского городского округа на погашение задолженности для завершения процедуры ликвидации и предотвращения банкротства</t>
  </si>
  <si>
    <t xml:space="preserve">        Предоставление меры социальной поддержки – выплата стипендии гражданам, обучающимся по договорам целевого обучения, заключенным с образовательными организациями высшего или среднего профессионального образования педагогической направленности и с управлением образования Невьянского городского округа  </t>
  </si>
  <si>
    <t>0740167290</t>
  </si>
  <si>
    <t xml:space="preserve">        Иные выплаты населению</t>
  </si>
  <si>
    <t>0820188215</t>
  </si>
  <si>
    <t xml:space="preserve">        Устройство автономного отопления в учреждениях культуры Невьянского городского округа</t>
  </si>
  <si>
    <t xml:space="preserve">     Поощрение региональной управленческой команды и муниципальных управленческих команд за достижение показателей деятельности органов исполнительной власти субъектов Российской Федерации</t>
  </si>
  <si>
    <t>0320242300</t>
  </si>
  <si>
    <t>03202S2300</t>
  </si>
  <si>
    <t xml:space="preserve">       Реализация проектов капитального строительства муниципального значения по развитию газификации</t>
  </si>
  <si>
    <t xml:space="preserve">        Реализация проектов капитального строительства муниципального значения по развитию газификации на территории Невьянского городского округа</t>
  </si>
  <si>
    <t xml:space="preserve">        Организация и проведение информационно-пропагандистских мероприятий по разъяснению сущности терроризма и его общественной опасности</t>
  </si>
  <si>
    <t xml:space="preserve">       Муниципальная программа "Повышение эффективности управления муниципальной собственностью Невьянского городского округа и распоряжения земельными участками, государственная собственность на которые не разграничена до 2027 года"</t>
  </si>
  <si>
    <t xml:space="preserve">         Подпрограмма "Организация управления муниципальной собственностью Невьянского городского округа, имуществом подлежащим оформлению в собственность Невьянского городского округа и другого имущества в случаях, установленных федеральными нормативными правовыми актами"</t>
  </si>
  <si>
    <t xml:space="preserve">        Расходы на приобретение имущества в казну Невьянского городского округа</t>
  </si>
  <si>
    <t>7000155490</t>
  </si>
  <si>
    <t xml:space="preserve">       Поощрение региональной управленческой команды и муниципальных управленческих команд за достижение показателей деятельности органов исполнительной власти субъектов Российской Федерации</t>
  </si>
  <si>
    <t>0820146500</t>
  </si>
  <si>
    <t xml:space="preserve">     Обеспечение осуществления оплаты труда работников муниципальных учреждений культуры с учетом установленных указами Президента Российской Федерации показателей соотношения заработной платы для данной категории работников</t>
  </si>
  <si>
    <t xml:space="preserve">       Организация работ по ремонту и содержанию моторизированных обзорных камер наблюдения в местах общественного пребывания граждан, работающих в непрерывном, круглосуточном режиме, для осуществления визуального контроля за обстановкой на улицах города Невьянска и в населенных пунктах Невьянского городского округа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</si>
</sst>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2"/>
      <color rgb="FF000000"/>
      <name val="Liberation Serif"/>
      <family val="1"/>
      <charset val="204"/>
    </font>
    <font>
      <sz val="12"/>
      <name val="Liberation Serif"/>
      <family val="1"/>
      <charset val="204"/>
    </font>
    <font>
      <sz val="10"/>
      <name val="Arial Cyr"/>
      <charset val="204"/>
    </font>
    <font>
      <sz val="11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rgb="FF000000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2" fillId="0" borderId="0">
      <alignment wrapText="1"/>
    </xf>
    <xf numFmtId="0" fontId="2" fillId="0" borderId="0"/>
    <xf numFmtId="0" fontId="3" fillId="0" borderId="0">
      <alignment horizontal="center"/>
    </xf>
    <xf numFmtId="0" fontId="2" fillId="0" borderId="0">
      <alignment horizontal="right"/>
    </xf>
    <xf numFmtId="0" fontId="2" fillId="0" borderId="1">
      <alignment horizontal="center" vertical="center" wrapText="1"/>
    </xf>
    <xf numFmtId="0" fontId="4" fillId="0" borderId="1">
      <alignment vertical="top" wrapText="1"/>
    </xf>
    <xf numFmtId="1" fontId="2" fillId="0" borderId="1">
      <alignment horizontal="center" vertical="top" shrinkToFit="1"/>
    </xf>
    <xf numFmtId="4" fontId="4" fillId="2" borderId="1">
      <alignment horizontal="right" vertical="top" shrinkToFit="1"/>
    </xf>
    <xf numFmtId="4" fontId="4" fillId="3" borderId="1">
      <alignment horizontal="right" vertical="top" shrinkToFit="1"/>
    </xf>
    <xf numFmtId="0" fontId="4" fillId="0" borderId="2">
      <alignment horizontal="right"/>
    </xf>
    <xf numFmtId="4" fontId="4" fillId="2" borderId="2">
      <alignment horizontal="right" vertical="top" shrinkToFit="1"/>
    </xf>
    <xf numFmtId="4" fontId="4" fillId="3" borderId="2">
      <alignment horizontal="right" vertical="top" shrinkToFit="1"/>
    </xf>
    <xf numFmtId="0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4" borderId="0"/>
    <xf numFmtId="0" fontId="2" fillId="4" borderId="0">
      <alignment shrinkToFit="1"/>
    </xf>
    <xf numFmtId="1" fontId="2" fillId="0" borderId="1">
      <alignment horizontal="left" vertical="top" wrapText="1" indent="2"/>
    </xf>
    <xf numFmtId="0" fontId="2" fillId="4" borderId="0">
      <alignment horizontal="center"/>
    </xf>
    <xf numFmtId="4" fontId="4" fillId="0" borderId="1">
      <alignment horizontal="right" vertical="top" shrinkToFit="1"/>
    </xf>
    <xf numFmtId="4" fontId="2" fillId="0" borderId="1">
      <alignment horizontal="right" vertical="top" shrinkToFit="1"/>
    </xf>
    <xf numFmtId="0" fontId="7" fillId="0" borderId="0"/>
  </cellStyleXfs>
  <cellXfs count="46">
    <xf numFmtId="0" fontId="0" fillId="0" borderId="0" xfId="0"/>
    <xf numFmtId="4" fontId="10" fillId="0" borderId="3" xfId="12" applyNumberFormat="1" applyFont="1" applyFill="1" applyBorder="1" applyProtection="1">
      <alignment horizontal="right" vertical="top" shrinkToFit="1"/>
    </xf>
    <xf numFmtId="0" fontId="5" fillId="0" borderId="6" xfId="6" applyNumberFormat="1" applyFont="1" applyFill="1" applyBorder="1" applyProtection="1">
      <alignment horizontal="center" vertical="center" wrapText="1"/>
    </xf>
    <xf numFmtId="0" fontId="5" fillId="0" borderId="1" xfId="6" applyNumberFormat="1" applyFont="1" applyFill="1" applyProtection="1">
      <alignment horizontal="center" vertical="center" wrapText="1"/>
    </xf>
    <xf numFmtId="0" fontId="5" fillId="0" borderId="4" xfId="6" applyNumberFormat="1" applyFont="1" applyFill="1" applyBorder="1" applyAlignment="1" applyProtection="1">
      <alignment horizontal="center" vertical="top" wrapText="1"/>
    </xf>
    <xf numFmtId="0" fontId="9" fillId="0" borderId="0" xfId="0" applyFont="1" applyFill="1"/>
    <xf numFmtId="0" fontId="8" fillId="0" borderId="0" xfId="0" applyFont="1" applyFill="1"/>
    <xf numFmtId="0" fontId="6" fillId="0" borderId="7" xfId="1" applyFont="1" applyFill="1" applyBorder="1" applyAlignment="1" applyProtection="1">
      <alignment horizontal="center" vertical="top"/>
      <protection locked="0"/>
    </xf>
    <xf numFmtId="0" fontId="5" fillId="0" borderId="9" xfId="6" applyNumberFormat="1" applyFont="1" applyFill="1" applyBorder="1" applyAlignment="1" applyProtection="1">
      <alignment horizontal="center" vertical="top" wrapText="1"/>
    </xf>
    <xf numFmtId="0" fontId="5" fillId="0" borderId="10" xfId="6" applyNumberFormat="1" applyFont="1" applyFill="1" applyBorder="1" applyAlignment="1" applyProtection="1">
      <alignment horizontal="center" vertical="top" wrapText="1"/>
    </xf>
    <xf numFmtId="0" fontId="11" fillId="0" borderId="3" xfId="7" applyNumberFormat="1" applyFont="1" applyFill="1" applyBorder="1" applyProtection="1">
      <alignment vertical="top" wrapText="1"/>
    </xf>
    <xf numFmtId="1" fontId="11" fillId="0" borderId="3" xfId="8" applyNumberFormat="1" applyFont="1" applyFill="1" applyBorder="1" applyProtection="1">
      <alignment horizontal="center" vertical="top" shrinkToFit="1"/>
    </xf>
    <xf numFmtId="4" fontId="11" fillId="0" borderId="3" xfId="9" applyNumberFormat="1" applyFont="1" applyFill="1" applyBorder="1" applyProtection="1">
      <alignment horizontal="right" vertical="top" shrinkToFit="1"/>
    </xf>
    <xf numFmtId="0" fontId="0" fillId="0" borderId="0" xfId="0" applyFill="1"/>
    <xf numFmtId="0" fontId="10" fillId="0" borderId="3" xfId="7" applyNumberFormat="1" applyFont="1" applyFill="1" applyBorder="1" applyProtection="1">
      <alignment vertical="top" wrapText="1"/>
    </xf>
    <xf numFmtId="1" fontId="10" fillId="0" borderId="3" xfId="8" applyNumberFormat="1" applyFont="1" applyFill="1" applyBorder="1" applyProtection="1">
      <alignment horizontal="center" vertical="top" shrinkToFit="1"/>
    </xf>
    <xf numFmtId="4" fontId="10" fillId="0" borderId="3" xfId="9" applyNumberFormat="1" applyFont="1" applyFill="1" applyBorder="1" applyProtection="1">
      <alignment horizontal="right" vertical="top" shrinkToFit="1"/>
    </xf>
    <xf numFmtId="0" fontId="12" fillId="0" borderId="0" xfId="0" applyFont="1" applyFill="1" applyAlignment="1">
      <alignment vertical="top"/>
    </xf>
    <xf numFmtId="0" fontId="13" fillId="0" borderId="3" xfId="0" applyFont="1" applyFill="1" applyBorder="1" applyAlignment="1" applyProtection="1">
      <alignment vertical="top"/>
      <protection locked="0"/>
    </xf>
    <xf numFmtId="0" fontId="12" fillId="0" borderId="3" xfId="0" applyFont="1" applyFill="1" applyBorder="1" applyAlignment="1" applyProtection="1">
      <alignment vertical="top"/>
      <protection locked="0"/>
    </xf>
    <xf numFmtId="0" fontId="14" fillId="0" borderId="0" xfId="0" applyFont="1" applyFill="1"/>
    <xf numFmtId="0" fontId="12" fillId="0" borderId="3" xfId="0" applyFont="1" applyBorder="1"/>
    <xf numFmtId="49" fontId="12" fillId="0" borderId="3" xfId="0" applyNumberFormat="1" applyFont="1" applyBorder="1"/>
    <xf numFmtId="4" fontId="12" fillId="0" borderId="3" xfId="0" applyNumberFormat="1" applyFont="1" applyBorder="1"/>
    <xf numFmtId="49" fontId="11" fillId="0" borderId="3" xfId="8" applyNumberFormat="1" applyFont="1" applyFill="1" applyBorder="1" applyProtection="1">
      <alignment horizontal="center" vertical="top" shrinkToFit="1"/>
    </xf>
    <xf numFmtId="49" fontId="10" fillId="0" borderId="3" xfId="8" applyNumberFormat="1" applyFont="1" applyFill="1" applyBorder="1" applyProtection="1">
      <alignment horizontal="center" vertical="top" shrinkToFit="1"/>
    </xf>
    <xf numFmtId="0" fontId="15" fillId="0" borderId="3" xfId="7" applyNumberFormat="1" applyFont="1" applyFill="1" applyBorder="1" applyProtection="1">
      <alignment vertical="top" wrapText="1"/>
    </xf>
    <xf numFmtId="1" fontId="15" fillId="0" borderId="3" xfId="8" applyNumberFormat="1" applyFont="1" applyFill="1" applyBorder="1" applyProtection="1">
      <alignment horizontal="center" vertical="top" shrinkToFit="1"/>
    </xf>
    <xf numFmtId="4" fontId="15" fillId="0" borderId="3" xfId="9" applyNumberFormat="1" applyFont="1" applyFill="1" applyBorder="1" applyProtection="1">
      <alignment horizontal="right" vertical="top" shrinkToFit="1"/>
    </xf>
    <xf numFmtId="0" fontId="11" fillId="5" borderId="3" xfId="7" applyNumberFormat="1" applyFont="1" applyFill="1" applyBorder="1" applyProtection="1">
      <alignment vertical="top" wrapText="1"/>
    </xf>
    <xf numFmtId="1" fontId="11" fillId="5" borderId="3" xfId="8" applyNumberFormat="1" applyFont="1" applyFill="1" applyBorder="1" applyProtection="1">
      <alignment horizontal="center" vertical="top" shrinkToFit="1"/>
    </xf>
    <xf numFmtId="4" fontId="11" fillId="5" borderId="3" xfId="9" applyNumberFormat="1" applyFont="1" applyFill="1" applyBorder="1" applyProtection="1">
      <alignment horizontal="right" vertical="top" shrinkToFit="1"/>
    </xf>
    <xf numFmtId="0" fontId="0" fillId="0" borderId="0" xfId="0" applyFont="1" applyFill="1"/>
    <xf numFmtId="4" fontId="0" fillId="0" borderId="0" xfId="0" applyNumberFormat="1" applyFill="1"/>
    <xf numFmtId="0" fontId="10" fillId="0" borderId="11" xfId="11" applyNumberFormat="1" applyFont="1" applyFill="1" applyBorder="1" applyAlignment="1" applyProtection="1">
      <alignment horizontal="left"/>
    </xf>
    <xf numFmtId="0" fontId="10" fillId="0" borderId="12" xfId="11" applyFont="1" applyFill="1" applyBorder="1" applyAlignment="1">
      <alignment horizontal="left"/>
    </xf>
    <xf numFmtId="0" fontId="10" fillId="0" borderId="5" xfId="11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0" fillId="0" borderId="0" xfId="0" applyFill="1" applyAlignment="1"/>
    <xf numFmtId="0" fontId="13" fillId="0" borderId="0" xfId="0" applyNumberFormat="1" applyFont="1" applyFill="1" applyAlignment="1">
      <alignment horizontal="center" vertical="top" wrapText="1"/>
    </xf>
    <xf numFmtId="49" fontId="6" fillId="0" borderId="7" xfId="1" applyNumberFormat="1" applyFont="1" applyFill="1" applyBorder="1" applyAlignment="1" applyProtection="1">
      <alignment horizontal="center" vertical="top" wrapText="1"/>
      <protection locked="0"/>
    </xf>
    <xf numFmtId="49" fontId="6" fillId="0" borderId="8" xfId="1" applyNumberFormat="1" applyFont="1" applyFill="1" applyBorder="1" applyAlignment="1" applyProtection="1">
      <alignment horizontal="center" vertical="top" wrapText="1"/>
      <protection locked="0"/>
    </xf>
    <xf numFmtId="164" fontId="6" fillId="0" borderId="5" xfId="26" applyNumberFormat="1" applyFont="1" applyFill="1" applyBorder="1" applyAlignment="1">
      <alignment horizontal="center" vertical="top"/>
    </xf>
    <xf numFmtId="164" fontId="6" fillId="0" borderId="3" xfId="26" applyNumberFormat="1" applyFont="1" applyFill="1" applyBorder="1" applyAlignment="1">
      <alignment horizontal="center" vertical="top"/>
    </xf>
    <xf numFmtId="0" fontId="5" fillId="0" borderId="5" xfId="6" applyNumberFormat="1" applyFont="1" applyFill="1" applyBorder="1" applyAlignment="1" applyProtection="1">
      <alignment horizontal="center" vertical="top" wrapText="1"/>
    </xf>
    <xf numFmtId="0" fontId="5" fillId="0" borderId="3" xfId="6" applyNumberFormat="1" applyFont="1" applyFill="1" applyBorder="1" applyAlignment="1" applyProtection="1">
      <alignment horizontal="center" vertical="top" wrapText="1"/>
    </xf>
  </cellXfs>
  <cellStyles count="27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3"/>
    <cellStyle name="xl24" xfId="2"/>
    <cellStyle name="xl25" xfId="11"/>
    <cellStyle name="xl26" xfId="21"/>
    <cellStyle name="xl27" xfId="12"/>
    <cellStyle name="xl28" xfId="13"/>
    <cellStyle name="xl29" xfId="4"/>
    <cellStyle name="xl30" xfId="5"/>
    <cellStyle name="xl31" xfId="14"/>
    <cellStyle name="xl32" xfId="7"/>
    <cellStyle name="xl33" xfId="22"/>
    <cellStyle name="xl34" xfId="8"/>
    <cellStyle name="xl35" xfId="23"/>
    <cellStyle name="xl36" xfId="9"/>
    <cellStyle name="xl37" xfId="24"/>
    <cellStyle name="xl38" xfId="25"/>
    <cellStyle name="xl39" xfId="10"/>
    <cellStyle name="Обычный" xfId="0" builtinId="0"/>
    <cellStyle name="Обычный 2" xfId="26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20"/>
  <sheetViews>
    <sheetView tabSelected="1" view="pageBreakPreview" topLeftCell="A698" zoomScale="124" zoomScaleSheetLayoutView="124" workbookViewId="0">
      <selection activeCell="F704" sqref="F704"/>
    </sheetView>
  </sheetViews>
  <sheetFormatPr defaultRowHeight="18" x14ac:dyDescent="0.25"/>
  <cols>
    <col min="1" max="1" width="7.28515625" style="17" customWidth="1"/>
    <col min="2" max="2" width="56.28515625" style="13" customWidth="1"/>
    <col min="3" max="3" width="8.5703125" style="13" customWidth="1"/>
    <col min="4" max="4" width="16.85546875" style="13" customWidth="1"/>
    <col min="5" max="5" width="7.28515625" style="13" customWidth="1"/>
    <col min="6" max="8" width="16.42578125" style="13" bestFit="1" customWidth="1"/>
    <col min="9" max="16384" width="9.140625" style="13"/>
  </cols>
  <sheetData>
    <row r="1" spans="1:8" s="5" customFormat="1" x14ac:dyDescent="0.25">
      <c r="A1" s="17"/>
      <c r="D1" s="37" t="s">
        <v>746</v>
      </c>
      <c r="E1" s="38"/>
      <c r="F1" s="38"/>
      <c r="G1" s="38"/>
      <c r="H1" s="38"/>
    </row>
    <row r="2" spans="1:8" s="5" customFormat="1" x14ac:dyDescent="0.25">
      <c r="A2" s="17"/>
      <c r="D2" s="37" t="s">
        <v>749</v>
      </c>
      <c r="E2" s="37"/>
      <c r="F2" s="37"/>
      <c r="G2" s="37"/>
      <c r="H2" s="37"/>
    </row>
    <row r="3" spans="1:8" s="5" customFormat="1" x14ac:dyDescent="0.25">
      <c r="A3" s="17"/>
      <c r="D3" s="37" t="s">
        <v>752</v>
      </c>
      <c r="E3" s="37"/>
      <c r="F3" s="37"/>
      <c r="G3" s="37"/>
      <c r="H3" s="37"/>
    </row>
    <row r="4" spans="1:8" s="5" customFormat="1" x14ac:dyDescent="0.25">
      <c r="A4" s="17"/>
      <c r="D4" s="37" t="s">
        <v>747</v>
      </c>
      <c r="E4" s="37"/>
      <c r="F4" s="37"/>
      <c r="G4" s="37"/>
      <c r="H4" s="37"/>
    </row>
    <row r="5" spans="1:8" s="5" customFormat="1" x14ac:dyDescent="0.2">
      <c r="A5" s="17"/>
    </row>
    <row r="6" spans="1:8" s="5" customFormat="1" ht="63.75" customHeight="1" x14ac:dyDescent="0.2">
      <c r="A6" s="39" t="s">
        <v>753</v>
      </c>
      <c r="B6" s="39"/>
      <c r="C6" s="39"/>
      <c r="D6" s="39"/>
      <c r="E6" s="39"/>
      <c r="F6" s="39"/>
      <c r="G6" s="39"/>
      <c r="H6" s="39"/>
    </row>
    <row r="8" spans="1:8" s="6" customFormat="1" ht="15" x14ac:dyDescent="0.2">
      <c r="A8" s="40" t="s">
        <v>0</v>
      </c>
      <c r="B8" s="44" t="s">
        <v>1</v>
      </c>
      <c r="C8" s="45" t="s">
        <v>748</v>
      </c>
      <c r="D8" s="45" t="s">
        <v>2</v>
      </c>
      <c r="E8" s="45" t="s">
        <v>3</v>
      </c>
      <c r="F8" s="42" t="s">
        <v>4</v>
      </c>
      <c r="G8" s="43"/>
      <c r="H8" s="43"/>
    </row>
    <row r="9" spans="1:8" s="6" customFormat="1" ht="15" x14ac:dyDescent="0.2">
      <c r="A9" s="41"/>
      <c r="B9" s="44"/>
      <c r="C9" s="45"/>
      <c r="D9" s="45"/>
      <c r="E9" s="45"/>
      <c r="F9" s="2" t="s">
        <v>5</v>
      </c>
      <c r="G9" s="3" t="s">
        <v>6</v>
      </c>
      <c r="H9" s="3" t="s">
        <v>7</v>
      </c>
    </row>
    <row r="10" spans="1:8" s="5" customFormat="1" ht="15" x14ac:dyDescent="0.2">
      <c r="A10" s="7">
        <v>1</v>
      </c>
      <c r="B10" s="8">
        <v>2</v>
      </c>
      <c r="C10" s="9">
        <v>3</v>
      </c>
      <c r="D10" s="9">
        <v>4</v>
      </c>
      <c r="E10" s="9">
        <v>5</v>
      </c>
      <c r="F10" s="4">
        <v>6</v>
      </c>
      <c r="G10" s="4">
        <v>7</v>
      </c>
      <c r="H10" s="4">
        <v>8</v>
      </c>
    </row>
    <row r="11" spans="1:8" ht="36" x14ac:dyDescent="0.25">
      <c r="A11" s="18">
        <v>1</v>
      </c>
      <c r="B11" s="14" t="s">
        <v>8</v>
      </c>
      <c r="C11" s="15" t="s">
        <v>9</v>
      </c>
      <c r="D11" s="15"/>
      <c r="E11" s="15"/>
      <c r="F11" s="16">
        <f>SUM(F12+F22+F35+F52+F57+F86+F90)</f>
        <v>234279.47000000003</v>
      </c>
      <c r="G11" s="16">
        <f t="shared" ref="G11:H11" si="0">SUM(G12+G22+G35+G52+G57+G86+G90)</f>
        <v>180652.82</v>
      </c>
      <c r="H11" s="16">
        <f t="shared" si="0"/>
        <v>183437.69999999998</v>
      </c>
    </row>
    <row r="12" spans="1:8" ht="72" x14ac:dyDescent="0.25">
      <c r="A12" s="18">
        <f>SUM(A11+1)</f>
        <v>2</v>
      </c>
      <c r="B12" s="14" t="s">
        <v>10</v>
      </c>
      <c r="C12" s="15" t="s">
        <v>11</v>
      </c>
      <c r="D12" s="15"/>
      <c r="E12" s="15"/>
      <c r="F12" s="16">
        <f>SUM(F13+F17)</f>
        <v>3513.43</v>
      </c>
      <c r="G12" s="16">
        <f t="shared" ref="G12:H12" si="1">SUM(G13+G17)</f>
        <v>3411.6</v>
      </c>
      <c r="H12" s="16">
        <f t="shared" si="1"/>
        <v>3548.3</v>
      </c>
    </row>
    <row r="13" spans="1:8" ht="72" x14ac:dyDescent="0.25">
      <c r="A13" s="19">
        <f t="shared" ref="A13:A94" si="2">SUM(A12+1)</f>
        <v>3</v>
      </c>
      <c r="B13" s="10" t="s">
        <v>12</v>
      </c>
      <c r="C13" s="11" t="s">
        <v>11</v>
      </c>
      <c r="D13" s="11" t="s">
        <v>13</v>
      </c>
      <c r="E13" s="11"/>
      <c r="F13" s="12">
        <f>SUM(F14)</f>
        <v>3268.5</v>
      </c>
      <c r="G13" s="12">
        <f t="shared" ref="G13:H13" si="3">SUM(G14)</f>
        <v>3411.6</v>
      </c>
      <c r="H13" s="12">
        <f t="shared" si="3"/>
        <v>3548.3</v>
      </c>
    </row>
    <row r="14" spans="1:8" ht="90" x14ac:dyDescent="0.25">
      <c r="A14" s="19">
        <f t="shared" si="2"/>
        <v>4</v>
      </c>
      <c r="B14" s="10" t="s">
        <v>14</v>
      </c>
      <c r="C14" s="11" t="s">
        <v>11</v>
      </c>
      <c r="D14" s="11" t="s">
        <v>15</v>
      </c>
      <c r="E14" s="11"/>
      <c r="F14" s="12">
        <f>SUM(F15)</f>
        <v>3268.5</v>
      </c>
      <c r="G14" s="12">
        <f t="shared" ref="G14:H14" si="4">SUM(G15)</f>
        <v>3411.6</v>
      </c>
      <c r="H14" s="12">
        <f t="shared" si="4"/>
        <v>3548.3</v>
      </c>
    </row>
    <row r="15" spans="1:8" x14ac:dyDescent="0.25">
      <c r="A15" s="19">
        <f t="shared" si="2"/>
        <v>5</v>
      </c>
      <c r="B15" s="10" t="s">
        <v>16</v>
      </c>
      <c r="C15" s="11" t="s">
        <v>11</v>
      </c>
      <c r="D15" s="11" t="s">
        <v>17</v>
      </c>
      <c r="E15" s="11"/>
      <c r="F15" s="12">
        <f>SUM(F16)</f>
        <v>3268.5</v>
      </c>
      <c r="G15" s="12">
        <f t="shared" ref="G15:H15" si="5">SUM(G16)</f>
        <v>3411.6</v>
      </c>
      <c r="H15" s="12">
        <f t="shared" si="5"/>
        <v>3548.3</v>
      </c>
    </row>
    <row r="16" spans="1:8" ht="36" x14ac:dyDescent="0.25">
      <c r="A16" s="19">
        <f t="shared" si="2"/>
        <v>6</v>
      </c>
      <c r="B16" s="10" t="s">
        <v>18</v>
      </c>
      <c r="C16" s="11" t="s">
        <v>11</v>
      </c>
      <c r="D16" s="11" t="s">
        <v>17</v>
      </c>
      <c r="E16" s="11" t="s">
        <v>19</v>
      </c>
      <c r="F16" s="12">
        <v>3268.5</v>
      </c>
      <c r="G16" s="12">
        <v>3411.6</v>
      </c>
      <c r="H16" s="12">
        <v>3548.3</v>
      </c>
    </row>
    <row r="17" spans="1:8" x14ac:dyDescent="0.25">
      <c r="A17" s="19">
        <f t="shared" si="2"/>
        <v>7</v>
      </c>
      <c r="B17" s="10" t="s">
        <v>22</v>
      </c>
      <c r="C17" s="11" t="s">
        <v>11</v>
      </c>
      <c r="D17" s="11" t="s">
        <v>23</v>
      </c>
      <c r="E17" s="11"/>
      <c r="F17" s="12">
        <f>SUM(F18+F20)</f>
        <v>244.93</v>
      </c>
      <c r="G17" s="12">
        <f t="shared" ref="G17:H17" si="6">SUM(G18+G20)</f>
        <v>0</v>
      </c>
      <c r="H17" s="12">
        <f t="shared" si="6"/>
        <v>0</v>
      </c>
    </row>
    <row r="18" spans="1:8" ht="36" x14ac:dyDescent="0.25">
      <c r="A18" s="19">
        <f t="shared" si="2"/>
        <v>8</v>
      </c>
      <c r="B18" s="10" t="s">
        <v>795</v>
      </c>
      <c r="C18" s="11" t="s">
        <v>11</v>
      </c>
      <c r="D18" s="11">
        <v>7000140700</v>
      </c>
      <c r="E18" s="11"/>
      <c r="F18" s="12">
        <f>SUM(F19)</f>
        <v>101.71</v>
      </c>
      <c r="G18" s="12">
        <f t="shared" ref="G18:H18" si="7">SUM(G19)</f>
        <v>0</v>
      </c>
      <c r="H18" s="12">
        <f t="shared" si="7"/>
        <v>0</v>
      </c>
    </row>
    <row r="19" spans="1:8" ht="36" x14ac:dyDescent="0.25">
      <c r="A19" s="19">
        <f t="shared" si="2"/>
        <v>9</v>
      </c>
      <c r="B19" s="10" t="s">
        <v>18</v>
      </c>
      <c r="C19" s="11" t="s">
        <v>11</v>
      </c>
      <c r="D19" s="11">
        <v>7000140700</v>
      </c>
      <c r="E19" s="11">
        <v>120</v>
      </c>
      <c r="F19" s="12">
        <v>101.71</v>
      </c>
      <c r="G19" s="12">
        <v>0</v>
      </c>
      <c r="H19" s="12">
        <v>0</v>
      </c>
    </row>
    <row r="20" spans="1:8" ht="90" x14ac:dyDescent="0.25">
      <c r="A20" s="19">
        <f t="shared" si="2"/>
        <v>10</v>
      </c>
      <c r="B20" s="10" t="s">
        <v>830</v>
      </c>
      <c r="C20" s="11" t="s">
        <v>11</v>
      </c>
      <c r="D20" s="11">
        <v>7000155490</v>
      </c>
      <c r="E20" s="11"/>
      <c r="F20" s="12">
        <f>SUM(F21)</f>
        <v>143.22</v>
      </c>
      <c r="G20" s="12">
        <f t="shared" ref="G20:H20" si="8">SUM(G21)</f>
        <v>0</v>
      </c>
      <c r="H20" s="12">
        <f t="shared" si="8"/>
        <v>0</v>
      </c>
    </row>
    <row r="21" spans="1:8" ht="36" x14ac:dyDescent="0.25">
      <c r="A21" s="19">
        <f t="shared" si="2"/>
        <v>11</v>
      </c>
      <c r="B21" s="10" t="s">
        <v>18</v>
      </c>
      <c r="C21" s="11" t="s">
        <v>11</v>
      </c>
      <c r="D21" s="11">
        <v>7000155490</v>
      </c>
      <c r="E21" s="11">
        <v>120</v>
      </c>
      <c r="F21" s="12">
        <v>143.22</v>
      </c>
      <c r="G21" s="12">
        <v>0</v>
      </c>
      <c r="H21" s="12">
        <v>0</v>
      </c>
    </row>
    <row r="22" spans="1:8" ht="90" x14ac:dyDescent="0.25">
      <c r="A22" s="18">
        <f t="shared" si="2"/>
        <v>12</v>
      </c>
      <c r="B22" s="14" t="s">
        <v>20</v>
      </c>
      <c r="C22" s="15" t="s">
        <v>21</v>
      </c>
      <c r="D22" s="15"/>
      <c r="E22" s="15"/>
      <c r="F22" s="16">
        <f>SUM(F23)</f>
        <v>5639.3099999999995</v>
      </c>
      <c r="G22" s="16">
        <f t="shared" ref="G22:H22" si="9">SUM(G23)</f>
        <v>5772.4</v>
      </c>
      <c r="H22" s="16">
        <f t="shared" si="9"/>
        <v>5971.2</v>
      </c>
    </row>
    <row r="23" spans="1:8" x14ac:dyDescent="0.25">
      <c r="A23" s="19">
        <f t="shared" si="2"/>
        <v>13</v>
      </c>
      <c r="B23" s="10" t="s">
        <v>22</v>
      </c>
      <c r="C23" s="11" t="s">
        <v>21</v>
      </c>
      <c r="D23" s="11" t="s">
        <v>23</v>
      </c>
      <c r="E23" s="11"/>
      <c r="F23" s="12">
        <f>SUM(F24+F26+F29+F33)</f>
        <v>5639.3099999999995</v>
      </c>
      <c r="G23" s="12">
        <f t="shared" ref="G23:H23" si="10">SUM(G24+G26+G29)</f>
        <v>5772.4</v>
      </c>
      <c r="H23" s="12">
        <f t="shared" si="10"/>
        <v>5971.2</v>
      </c>
    </row>
    <row r="24" spans="1:8" ht="36" x14ac:dyDescent="0.25">
      <c r="A24" s="19">
        <f t="shared" si="2"/>
        <v>14</v>
      </c>
      <c r="B24" s="10" t="s">
        <v>24</v>
      </c>
      <c r="C24" s="11" t="s">
        <v>21</v>
      </c>
      <c r="D24" s="11" t="s">
        <v>25</v>
      </c>
      <c r="E24" s="11"/>
      <c r="F24" s="12">
        <f>SUM(F25)</f>
        <v>2894.2</v>
      </c>
      <c r="G24" s="12">
        <f t="shared" ref="G24:H24" si="11">SUM(G25)</f>
        <v>3021</v>
      </c>
      <c r="H24" s="12">
        <f t="shared" si="11"/>
        <v>3142.1</v>
      </c>
    </row>
    <row r="25" spans="1:8" ht="36" x14ac:dyDescent="0.25">
      <c r="A25" s="19">
        <f t="shared" si="2"/>
        <v>15</v>
      </c>
      <c r="B25" s="10" t="s">
        <v>18</v>
      </c>
      <c r="C25" s="11" t="s">
        <v>21</v>
      </c>
      <c r="D25" s="11" t="s">
        <v>25</v>
      </c>
      <c r="E25" s="11" t="s">
        <v>19</v>
      </c>
      <c r="F25" s="12">
        <v>2894.2</v>
      </c>
      <c r="G25" s="12">
        <v>3021</v>
      </c>
      <c r="H25" s="12">
        <v>3142.1</v>
      </c>
    </row>
    <row r="26" spans="1:8" ht="72" x14ac:dyDescent="0.25">
      <c r="A26" s="19">
        <f t="shared" si="2"/>
        <v>16</v>
      </c>
      <c r="B26" s="10" t="s">
        <v>26</v>
      </c>
      <c r="C26" s="11" t="s">
        <v>21</v>
      </c>
      <c r="D26" s="11" t="s">
        <v>27</v>
      </c>
      <c r="E26" s="11"/>
      <c r="F26" s="12">
        <f>SUM(F27:F28)</f>
        <v>52.4</v>
      </c>
      <c r="G26" s="12">
        <f t="shared" ref="G26:H26" si="12">SUM(G27:G28)</f>
        <v>52.4</v>
      </c>
      <c r="H26" s="12">
        <f t="shared" si="12"/>
        <v>52.4</v>
      </c>
    </row>
    <row r="27" spans="1:8" ht="36" x14ac:dyDescent="0.25">
      <c r="A27" s="19">
        <f t="shared" si="2"/>
        <v>17</v>
      </c>
      <c r="B27" s="10" t="s">
        <v>18</v>
      </c>
      <c r="C27" s="11" t="s">
        <v>21</v>
      </c>
      <c r="D27" s="11" t="s">
        <v>27</v>
      </c>
      <c r="E27" s="11" t="s">
        <v>19</v>
      </c>
      <c r="F27" s="12">
        <v>16.399999999999999</v>
      </c>
      <c r="G27" s="12">
        <v>16.399999999999999</v>
      </c>
      <c r="H27" s="12">
        <v>16.399999999999999</v>
      </c>
    </row>
    <row r="28" spans="1:8" ht="54" x14ac:dyDescent="0.25">
      <c r="A28" s="19">
        <f t="shared" si="2"/>
        <v>18</v>
      </c>
      <c r="B28" s="10" t="s">
        <v>28</v>
      </c>
      <c r="C28" s="11" t="s">
        <v>21</v>
      </c>
      <c r="D28" s="11" t="s">
        <v>27</v>
      </c>
      <c r="E28" s="11" t="s">
        <v>29</v>
      </c>
      <c r="F28" s="12">
        <v>36</v>
      </c>
      <c r="G28" s="12">
        <v>36</v>
      </c>
      <c r="H28" s="12">
        <v>36</v>
      </c>
    </row>
    <row r="29" spans="1:8" ht="36" x14ac:dyDescent="0.25">
      <c r="A29" s="19">
        <f t="shared" si="2"/>
        <v>19</v>
      </c>
      <c r="B29" s="10" t="s">
        <v>30</v>
      </c>
      <c r="C29" s="11" t="s">
        <v>21</v>
      </c>
      <c r="D29" s="11" t="s">
        <v>31</v>
      </c>
      <c r="E29" s="11"/>
      <c r="F29" s="12">
        <f>SUM(F30:F32)</f>
        <v>2642.3</v>
      </c>
      <c r="G29" s="12">
        <f t="shared" ref="G29:H29" si="13">SUM(G30:G32)</f>
        <v>2699</v>
      </c>
      <c r="H29" s="12">
        <f t="shared" si="13"/>
        <v>2776.7</v>
      </c>
    </row>
    <row r="30" spans="1:8" ht="36" x14ac:dyDescent="0.25">
      <c r="A30" s="19">
        <f t="shared" si="2"/>
        <v>20</v>
      </c>
      <c r="B30" s="10" t="s">
        <v>18</v>
      </c>
      <c r="C30" s="11" t="s">
        <v>21</v>
      </c>
      <c r="D30" s="11" t="s">
        <v>31</v>
      </c>
      <c r="E30" s="11" t="s">
        <v>19</v>
      </c>
      <c r="F30" s="12">
        <v>2156.8000000000002</v>
      </c>
      <c r="G30" s="12">
        <v>2213.5</v>
      </c>
      <c r="H30" s="12">
        <v>2291.1999999999998</v>
      </c>
    </row>
    <row r="31" spans="1:8" ht="54" x14ac:dyDescent="0.25">
      <c r="A31" s="19">
        <f t="shared" si="2"/>
        <v>21</v>
      </c>
      <c r="B31" s="10" t="s">
        <v>28</v>
      </c>
      <c r="C31" s="11" t="s">
        <v>21</v>
      </c>
      <c r="D31" s="11" t="s">
        <v>31</v>
      </c>
      <c r="E31" s="11" t="s">
        <v>29</v>
      </c>
      <c r="F31" s="12">
        <v>438.5</v>
      </c>
      <c r="G31" s="12">
        <v>485.5</v>
      </c>
      <c r="H31" s="12">
        <v>485.5</v>
      </c>
    </row>
    <row r="32" spans="1:8" x14ac:dyDescent="0.25">
      <c r="A32" s="19">
        <f t="shared" si="2"/>
        <v>22</v>
      </c>
      <c r="B32" s="10" t="s">
        <v>111</v>
      </c>
      <c r="C32" s="11" t="s">
        <v>21</v>
      </c>
      <c r="D32" s="11" t="s">
        <v>31</v>
      </c>
      <c r="E32" s="11">
        <v>830</v>
      </c>
      <c r="F32" s="12">
        <v>47</v>
      </c>
      <c r="G32" s="12">
        <v>0</v>
      </c>
      <c r="H32" s="12">
        <v>0</v>
      </c>
    </row>
    <row r="33" spans="1:8" ht="36" x14ac:dyDescent="0.25">
      <c r="A33" s="19">
        <f t="shared" si="2"/>
        <v>23</v>
      </c>
      <c r="B33" s="10" t="s">
        <v>795</v>
      </c>
      <c r="C33" s="11" t="s">
        <v>21</v>
      </c>
      <c r="D33" s="11">
        <v>7000140700</v>
      </c>
      <c r="E33" s="11"/>
      <c r="F33" s="12">
        <f>SUM(F34)</f>
        <v>50.41</v>
      </c>
      <c r="G33" s="12">
        <f t="shared" ref="G33:H33" si="14">SUM(G34)</f>
        <v>0</v>
      </c>
      <c r="H33" s="12">
        <f t="shared" si="14"/>
        <v>0</v>
      </c>
    </row>
    <row r="34" spans="1:8" ht="36" x14ac:dyDescent="0.25">
      <c r="A34" s="19">
        <f t="shared" si="2"/>
        <v>24</v>
      </c>
      <c r="B34" s="10" t="s">
        <v>18</v>
      </c>
      <c r="C34" s="11" t="s">
        <v>21</v>
      </c>
      <c r="D34" s="11">
        <v>7000140700</v>
      </c>
      <c r="E34" s="11">
        <v>120</v>
      </c>
      <c r="F34" s="12">
        <v>50.41</v>
      </c>
      <c r="G34" s="12">
        <v>0</v>
      </c>
      <c r="H34" s="12">
        <v>0</v>
      </c>
    </row>
    <row r="35" spans="1:8" ht="108" x14ac:dyDescent="0.25">
      <c r="A35" s="18">
        <f t="shared" si="2"/>
        <v>25</v>
      </c>
      <c r="B35" s="14" t="s">
        <v>32</v>
      </c>
      <c r="C35" s="15" t="s">
        <v>33</v>
      </c>
      <c r="D35" s="15"/>
      <c r="E35" s="15"/>
      <c r="F35" s="16">
        <f>SUM(F36+F47)</f>
        <v>121902.04000000001</v>
      </c>
      <c r="G35" s="16">
        <f t="shared" ref="G35:H35" si="15">SUM(G36+G47)</f>
        <v>123849.22</v>
      </c>
      <c r="H35" s="16">
        <f t="shared" si="15"/>
        <v>128191.79</v>
      </c>
    </row>
    <row r="36" spans="1:8" ht="72" x14ac:dyDescent="0.25">
      <c r="A36" s="19">
        <f t="shared" si="2"/>
        <v>26</v>
      </c>
      <c r="B36" s="10" t="s">
        <v>12</v>
      </c>
      <c r="C36" s="11" t="s">
        <v>33</v>
      </c>
      <c r="D36" s="11" t="s">
        <v>13</v>
      </c>
      <c r="E36" s="11"/>
      <c r="F36" s="12">
        <f>SUM(F37+F41)</f>
        <v>121155.87000000001</v>
      </c>
      <c r="G36" s="12">
        <v>123849.22</v>
      </c>
      <c r="H36" s="12">
        <v>128191.79</v>
      </c>
    </row>
    <row r="37" spans="1:8" ht="54" x14ac:dyDescent="0.25">
      <c r="A37" s="19">
        <f t="shared" si="2"/>
        <v>27</v>
      </c>
      <c r="B37" s="10" t="s">
        <v>34</v>
      </c>
      <c r="C37" s="11" t="s">
        <v>33</v>
      </c>
      <c r="D37" s="11" t="s">
        <v>35</v>
      </c>
      <c r="E37" s="11"/>
      <c r="F37" s="12">
        <f>SUM(F38)</f>
        <v>339</v>
      </c>
      <c r="G37" s="12">
        <f t="shared" ref="G37:H37" si="16">SUM(G38)</f>
        <v>189</v>
      </c>
      <c r="H37" s="12">
        <f t="shared" si="16"/>
        <v>189</v>
      </c>
    </row>
    <row r="38" spans="1:8" ht="72" x14ac:dyDescent="0.25">
      <c r="A38" s="19">
        <f t="shared" si="2"/>
        <v>28</v>
      </c>
      <c r="B38" s="10" t="s">
        <v>36</v>
      </c>
      <c r="C38" s="11" t="s">
        <v>33</v>
      </c>
      <c r="D38" s="11" t="s">
        <v>37</v>
      </c>
      <c r="E38" s="11"/>
      <c r="F38" s="12">
        <f>SUM(F39:F40)</f>
        <v>339</v>
      </c>
      <c r="G38" s="12">
        <f t="shared" ref="G38:H38" si="17">SUM(G39:G40)</f>
        <v>189</v>
      </c>
      <c r="H38" s="12">
        <f t="shared" si="17"/>
        <v>189</v>
      </c>
    </row>
    <row r="39" spans="1:8" ht="36" x14ac:dyDescent="0.25">
      <c r="A39" s="19">
        <f t="shared" si="2"/>
        <v>29</v>
      </c>
      <c r="B39" s="10" t="s">
        <v>18</v>
      </c>
      <c r="C39" s="11" t="s">
        <v>33</v>
      </c>
      <c r="D39" s="11" t="s">
        <v>37</v>
      </c>
      <c r="E39" s="11" t="s">
        <v>19</v>
      </c>
      <c r="F39" s="12">
        <v>258.14</v>
      </c>
      <c r="G39" s="12">
        <v>89</v>
      </c>
      <c r="H39" s="12">
        <v>89</v>
      </c>
    </row>
    <row r="40" spans="1:8" ht="54" x14ac:dyDescent="0.25">
      <c r="A40" s="19">
        <f t="shared" si="2"/>
        <v>30</v>
      </c>
      <c r="B40" s="10" t="s">
        <v>28</v>
      </c>
      <c r="C40" s="11" t="s">
        <v>33</v>
      </c>
      <c r="D40" s="11" t="s">
        <v>37</v>
      </c>
      <c r="E40" s="11" t="s">
        <v>29</v>
      </c>
      <c r="F40" s="12">
        <v>80.86</v>
      </c>
      <c r="G40" s="12">
        <v>100</v>
      </c>
      <c r="H40" s="12">
        <v>100</v>
      </c>
    </row>
    <row r="41" spans="1:8" ht="90" x14ac:dyDescent="0.25">
      <c r="A41" s="19">
        <f t="shared" si="2"/>
        <v>31</v>
      </c>
      <c r="B41" s="10" t="s">
        <v>14</v>
      </c>
      <c r="C41" s="11" t="s">
        <v>33</v>
      </c>
      <c r="D41" s="11" t="s">
        <v>15</v>
      </c>
      <c r="E41" s="11"/>
      <c r="F41" s="12">
        <f>SUM(F42)</f>
        <v>120816.87000000001</v>
      </c>
      <c r="G41" s="12">
        <f t="shared" ref="G41:H41" si="18">SUM(G42)</f>
        <v>123660.22</v>
      </c>
      <c r="H41" s="12">
        <f t="shared" si="18"/>
        <v>128002.79</v>
      </c>
    </row>
    <row r="42" spans="1:8" ht="36" x14ac:dyDescent="0.25">
      <c r="A42" s="19">
        <f t="shared" si="2"/>
        <v>32</v>
      </c>
      <c r="B42" s="10" t="s">
        <v>38</v>
      </c>
      <c r="C42" s="11" t="s">
        <v>33</v>
      </c>
      <c r="D42" s="11" t="s">
        <v>39</v>
      </c>
      <c r="E42" s="11"/>
      <c r="F42" s="12">
        <f>SUM(F43:F46)</f>
        <v>120816.87000000001</v>
      </c>
      <c r="G42" s="12">
        <f t="shared" ref="G42:H42" si="19">SUM(G43:G46)</f>
        <v>123660.22</v>
      </c>
      <c r="H42" s="12">
        <f t="shared" si="19"/>
        <v>128002.79</v>
      </c>
    </row>
    <row r="43" spans="1:8" ht="36" x14ac:dyDescent="0.25">
      <c r="A43" s="19">
        <f t="shared" si="2"/>
        <v>33</v>
      </c>
      <c r="B43" s="10" t="s">
        <v>18</v>
      </c>
      <c r="C43" s="11" t="s">
        <v>33</v>
      </c>
      <c r="D43" s="11" t="s">
        <v>39</v>
      </c>
      <c r="E43" s="11" t="s">
        <v>19</v>
      </c>
      <c r="F43" s="12">
        <f>105772.32+40</f>
        <v>105812.32</v>
      </c>
      <c r="G43" s="12">
        <v>108816.1</v>
      </c>
      <c r="H43" s="12">
        <v>112853.4</v>
      </c>
    </row>
    <row r="44" spans="1:8" ht="54" x14ac:dyDescent="0.25">
      <c r="A44" s="19">
        <f t="shared" si="2"/>
        <v>34</v>
      </c>
      <c r="B44" s="10" t="s">
        <v>28</v>
      </c>
      <c r="C44" s="11" t="s">
        <v>33</v>
      </c>
      <c r="D44" s="11" t="s">
        <v>39</v>
      </c>
      <c r="E44" s="11" t="s">
        <v>29</v>
      </c>
      <c r="F44" s="12">
        <f>14457.34-40</f>
        <v>14417.34</v>
      </c>
      <c r="G44" s="12">
        <v>14784.12</v>
      </c>
      <c r="H44" s="12">
        <v>15089.39</v>
      </c>
    </row>
    <row r="45" spans="1:8" ht="54.75" customHeight="1" x14ac:dyDescent="0.25">
      <c r="A45" s="19">
        <f t="shared" si="2"/>
        <v>35</v>
      </c>
      <c r="B45" s="10" t="s">
        <v>647</v>
      </c>
      <c r="C45" s="11" t="s">
        <v>33</v>
      </c>
      <c r="D45" s="11" t="s">
        <v>39</v>
      </c>
      <c r="E45" s="11">
        <v>320</v>
      </c>
      <c r="F45" s="12">
        <v>2.21</v>
      </c>
      <c r="G45" s="12">
        <v>0</v>
      </c>
      <c r="H45" s="12">
        <v>0</v>
      </c>
    </row>
    <row r="46" spans="1:8" ht="36" x14ac:dyDescent="0.25">
      <c r="A46" s="19">
        <f t="shared" si="2"/>
        <v>36</v>
      </c>
      <c r="B46" s="10" t="s">
        <v>40</v>
      </c>
      <c r="C46" s="11" t="s">
        <v>33</v>
      </c>
      <c r="D46" s="11" t="s">
        <v>39</v>
      </c>
      <c r="E46" s="11" t="s">
        <v>41</v>
      </c>
      <c r="F46" s="12">
        <f>425+160</f>
        <v>585</v>
      </c>
      <c r="G46" s="12">
        <v>60</v>
      </c>
      <c r="H46" s="12">
        <v>60</v>
      </c>
    </row>
    <row r="47" spans="1:8" x14ac:dyDescent="0.25">
      <c r="A47" s="19">
        <f t="shared" si="2"/>
        <v>37</v>
      </c>
      <c r="B47" s="10" t="s">
        <v>22</v>
      </c>
      <c r="C47" s="11" t="s">
        <v>33</v>
      </c>
      <c r="D47" s="11" t="s">
        <v>23</v>
      </c>
      <c r="E47" s="11"/>
      <c r="F47" s="12">
        <f>SUM(F48+F50)</f>
        <v>746.17000000000007</v>
      </c>
      <c r="G47" s="12">
        <f t="shared" ref="G47:H47" si="20">SUM(G48+G50)</f>
        <v>0</v>
      </c>
      <c r="H47" s="12">
        <f t="shared" si="20"/>
        <v>0</v>
      </c>
    </row>
    <row r="48" spans="1:8" ht="36" x14ac:dyDescent="0.25">
      <c r="A48" s="19">
        <f t="shared" si="2"/>
        <v>38</v>
      </c>
      <c r="B48" s="10" t="s">
        <v>795</v>
      </c>
      <c r="C48" s="11" t="s">
        <v>33</v>
      </c>
      <c r="D48" s="11">
        <v>7000140700</v>
      </c>
      <c r="E48" s="11"/>
      <c r="F48" s="12">
        <f>SUM(F49)</f>
        <v>268.86</v>
      </c>
      <c r="G48" s="12">
        <f t="shared" ref="G48:H48" si="21">SUM(G49)</f>
        <v>0</v>
      </c>
      <c r="H48" s="12">
        <f t="shared" si="21"/>
        <v>0</v>
      </c>
    </row>
    <row r="49" spans="1:8" ht="36" x14ac:dyDescent="0.25">
      <c r="A49" s="19">
        <f t="shared" si="2"/>
        <v>39</v>
      </c>
      <c r="B49" s="10" t="s">
        <v>18</v>
      </c>
      <c r="C49" s="11" t="s">
        <v>33</v>
      </c>
      <c r="D49" s="11">
        <v>7000140700</v>
      </c>
      <c r="E49" s="11">
        <v>120</v>
      </c>
      <c r="F49" s="12">
        <f>336.07-67.21</f>
        <v>268.86</v>
      </c>
      <c r="G49" s="12">
        <v>0</v>
      </c>
      <c r="H49" s="12">
        <v>0</v>
      </c>
    </row>
    <row r="50" spans="1:8" ht="90" x14ac:dyDescent="0.25">
      <c r="A50" s="19">
        <f t="shared" si="2"/>
        <v>40</v>
      </c>
      <c r="B50" s="10" t="s">
        <v>830</v>
      </c>
      <c r="C50" s="11" t="s">
        <v>33</v>
      </c>
      <c r="D50" s="11">
        <v>7000155490</v>
      </c>
      <c r="E50" s="11"/>
      <c r="F50" s="12">
        <f>SUM(F51)</f>
        <v>477.31</v>
      </c>
      <c r="G50" s="12">
        <f t="shared" ref="G50:H50" si="22">SUM(G51)</f>
        <v>0</v>
      </c>
      <c r="H50" s="12">
        <f t="shared" si="22"/>
        <v>0</v>
      </c>
    </row>
    <row r="51" spans="1:8" ht="36" x14ac:dyDescent="0.25">
      <c r="A51" s="19">
        <f t="shared" si="2"/>
        <v>41</v>
      </c>
      <c r="B51" s="10" t="s">
        <v>18</v>
      </c>
      <c r="C51" s="11" t="s">
        <v>33</v>
      </c>
      <c r="D51" s="11">
        <v>7000155490</v>
      </c>
      <c r="E51" s="11">
        <v>120</v>
      </c>
      <c r="F51" s="12">
        <v>477.31</v>
      </c>
      <c r="G51" s="12">
        <v>0</v>
      </c>
      <c r="H51" s="12">
        <v>0</v>
      </c>
    </row>
    <row r="52" spans="1:8" x14ac:dyDescent="0.25">
      <c r="A52" s="18">
        <f t="shared" si="2"/>
        <v>42</v>
      </c>
      <c r="B52" s="14" t="s">
        <v>42</v>
      </c>
      <c r="C52" s="15" t="s">
        <v>43</v>
      </c>
      <c r="D52" s="15"/>
      <c r="E52" s="15"/>
      <c r="F52" s="16">
        <f>SUM(F53)</f>
        <v>36.4</v>
      </c>
      <c r="G52" s="16">
        <f t="shared" ref="G52:H52" si="23">SUM(G53)</f>
        <v>37.299999999999997</v>
      </c>
      <c r="H52" s="16">
        <f t="shared" si="23"/>
        <v>246.1</v>
      </c>
    </row>
    <row r="53" spans="1:8" ht="72" x14ac:dyDescent="0.25">
      <c r="A53" s="19">
        <f t="shared" si="2"/>
        <v>43</v>
      </c>
      <c r="B53" s="10" t="s">
        <v>12</v>
      </c>
      <c r="C53" s="11" t="s">
        <v>43</v>
      </c>
      <c r="D53" s="11" t="s">
        <v>13</v>
      </c>
      <c r="E53" s="11"/>
      <c r="F53" s="12">
        <f>SUM(F54)</f>
        <v>36.4</v>
      </c>
      <c r="G53" s="12">
        <f t="shared" ref="G53:H53" si="24">SUM(G54)</f>
        <v>37.299999999999997</v>
      </c>
      <c r="H53" s="12">
        <f t="shared" si="24"/>
        <v>246.1</v>
      </c>
    </row>
    <row r="54" spans="1:8" ht="90" x14ac:dyDescent="0.25">
      <c r="A54" s="19">
        <f t="shared" si="2"/>
        <v>44</v>
      </c>
      <c r="B54" s="10" t="s">
        <v>14</v>
      </c>
      <c r="C54" s="11" t="s">
        <v>43</v>
      </c>
      <c r="D54" s="11" t="s">
        <v>15</v>
      </c>
      <c r="E54" s="11"/>
      <c r="F54" s="12">
        <f>SUM(F55)</f>
        <v>36.4</v>
      </c>
      <c r="G54" s="12">
        <f t="shared" ref="G54:H54" si="25">SUM(G55)</f>
        <v>37.299999999999997</v>
      </c>
      <c r="H54" s="12">
        <f t="shared" si="25"/>
        <v>246.1</v>
      </c>
    </row>
    <row r="55" spans="1:8" ht="90" x14ac:dyDescent="0.25">
      <c r="A55" s="19">
        <f t="shared" si="2"/>
        <v>45</v>
      </c>
      <c r="B55" s="10" t="s">
        <v>44</v>
      </c>
      <c r="C55" s="11" t="s">
        <v>43</v>
      </c>
      <c r="D55" s="11" t="s">
        <v>45</v>
      </c>
      <c r="E55" s="11"/>
      <c r="F55" s="12">
        <f>SUM(F56)</f>
        <v>36.4</v>
      </c>
      <c r="G55" s="12">
        <f t="shared" ref="G55:H55" si="26">SUM(G56)</f>
        <v>37.299999999999997</v>
      </c>
      <c r="H55" s="12">
        <f t="shared" si="26"/>
        <v>246.1</v>
      </c>
    </row>
    <row r="56" spans="1:8" ht="54" x14ac:dyDescent="0.25">
      <c r="A56" s="19">
        <f t="shared" si="2"/>
        <v>46</v>
      </c>
      <c r="B56" s="10" t="s">
        <v>28</v>
      </c>
      <c r="C56" s="11" t="s">
        <v>43</v>
      </c>
      <c r="D56" s="11" t="s">
        <v>45</v>
      </c>
      <c r="E56" s="11" t="s">
        <v>29</v>
      </c>
      <c r="F56" s="12">
        <v>36.4</v>
      </c>
      <c r="G56" s="12">
        <v>37.299999999999997</v>
      </c>
      <c r="H56" s="12">
        <v>246.1</v>
      </c>
    </row>
    <row r="57" spans="1:8" ht="72" x14ac:dyDescent="0.25">
      <c r="A57" s="18">
        <f t="shared" si="2"/>
        <v>47</v>
      </c>
      <c r="B57" s="14" t="s">
        <v>46</v>
      </c>
      <c r="C57" s="15" t="s">
        <v>47</v>
      </c>
      <c r="D57" s="15"/>
      <c r="E57" s="15"/>
      <c r="F57" s="16">
        <f>SUM(F58+F73)</f>
        <v>29327.03</v>
      </c>
      <c r="G57" s="16">
        <f t="shared" ref="G57:H57" si="27">SUM(G58+G73)</f>
        <v>30259.200000000001</v>
      </c>
      <c r="H57" s="16">
        <f t="shared" si="27"/>
        <v>31290.21</v>
      </c>
    </row>
    <row r="58" spans="1:8" ht="54" x14ac:dyDescent="0.25">
      <c r="A58" s="19">
        <f t="shared" si="2"/>
        <v>48</v>
      </c>
      <c r="B58" s="10" t="s">
        <v>48</v>
      </c>
      <c r="C58" s="11" t="s">
        <v>47</v>
      </c>
      <c r="D58" s="11" t="s">
        <v>49</v>
      </c>
      <c r="E58" s="11"/>
      <c r="F58" s="12">
        <f>SUM(F59+F64)</f>
        <v>24152.86</v>
      </c>
      <c r="G58" s="12">
        <f t="shared" ref="G58:H58" si="28">SUM(G59+G64)</f>
        <v>24999.23</v>
      </c>
      <c r="H58" s="12">
        <f t="shared" si="28"/>
        <v>25895.499999999996</v>
      </c>
    </row>
    <row r="59" spans="1:8" ht="54" x14ac:dyDescent="0.25">
      <c r="A59" s="19">
        <f t="shared" si="2"/>
        <v>49</v>
      </c>
      <c r="B59" s="10" t="s">
        <v>50</v>
      </c>
      <c r="C59" s="11" t="s">
        <v>47</v>
      </c>
      <c r="D59" s="11" t="s">
        <v>51</v>
      </c>
      <c r="E59" s="11"/>
      <c r="F59" s="12">
        <f>SUM(F60+F62)</f>
        <v>1972.5900000000001</v>
      </c>
      <c r="G59" s="12">
        <f t="shared" ref="G59:H59" si="29">SUM(G60+G62)</f>
        <v>1919.1599999999999</v>
      </c>
      <c r="H59" s="12">
        <f t="shared" si="29"/>
        <v>1919.1599999999999</v>
      </c>
    </row>
    <row r="60" spans="1:8" ht="54" x14ac:dyDescent="0.25">
      <c r="A60" s="19">
        <f t="shared" si="2"/>
        <v>50</v>
      </c>
      <c r="B60" s="10" t="s">
        <v>52</v>
      </c>
      <c r="C60" s="11" t="s">
        <v>47</v>
      </c>
      <c r="D60" s="11" t="s">
        <v>53</v>
      </c>
      <c r="E60" s="11"/>
      <c r="F60" s="12">
        <f>SUM(F61)</f>
        <v>931.59</v>
      </c>
      <c r="G60" s="12">
        <f t="shared" ref="G60:H60" si="30">SUM(G61)</f>
        <v>878.16</v>
      </c>
      <c r="H60" s="12">
        <f t="shared" si="30"/>
        <v>878.16</v>
      </c>
    </row>
    <row r="61" spans="1:8" ht="54" x14ac:dyDescent="0.25">
      <c r="A61" s="19">
        <f t="shared" si="2"/>
        <v>51</v>
      </c>
      <c r="B61" s="10" t="s">
        <v>28</v>
      </c>
      <c r="C61" s="11" t="s">
        <v>47</v>
      </c>
      <c r="D61" s="11" t="s">
        <v>53</v>
      </c>
      <c r="E61" s="11" t="s">
        <v>29</v>
      </c>
      <c r="F61" s="12">
        <v>931.59</v>
      </c>
      <c r="G61" s="12">
        <v>878.16</v>
      </c>
      <c r="H61" s="12">
        <v>878.16</v>
      </c>
    </row>
    <row r="62" spans="1:8" ht="72" x14ac:dyDescent="0.25">
      <c r="A62" s="19">
        <f t="shared" si="2"/>
        <v>52</v>
      </c>
      <c r="B62" s="10" t="s">
        <v>54</v>
      </c>
      <c r="C62" s="11" t="s">
        <v>47</v>
      </c>
      <c r="D62" s="11" t="s">
        <v>55</v>
      </c>
      <c r="E62" s="11"/>
      <c r="F62" s="12">
        <f>SUM(F63)</f>
        <v>1041</v>
      </c>
      <c r="G62" s="12">
        <f t="shared" ref="G62:H62" si="31">SUM(G63)</f>
        <v>1041</v>
      </c>
      <c r="H62" s="12">
        <f t="shared" si="31"/>
        <v>1041</v>
      </c>
    </row>
    <row r="63" spans="1:8" ht="54" x14ac:dyDescent="0.25">
      <c r="A63" s="19">
        <f t="shared" si="2"/>
        <v>53</v>
      </c>
      <c r="B63" s="10" t="s">
        <v>28</v>
      </c>
      <c r="C63" s="11" t="s">
        <v>47</v>
      </c>
      <c r="D63" s="11" t="s">
        <v>55</v>
      </c>
      <c r="E63" s="11" t="s">
        <v>29</v>
      </c>
      <c r="F63" s="12">
        <v>1041</v>
      </c>
      <c r="G63" s="12">
        <v>1041</v>
      </c>
      <c r="H63" s="12">
        <v>1041</v>
      </c>
    </row>
    <row r="64" spans="1:8" ht="90" x14ac:dyDescent="0.25">
      <c r="A64" s="19">
        <f t="shared" si="2"/>
        <v>54</v>
      </c>
      <c r="B64" s="10" t="s">
        <v>56</v>
      </c>
      <c r="C64" s="11" t="s">
        <v>47</v>
      </c>
      <c r="D64" s="11" t="s">
        <v>57</v>
      </c>
      <c r="E64" s="11"/>
      <c r="F64" s="12">
        <f>SUM(F65+F68+F71)</f>
        <v>22180.27</v>
      </c>
      <c r="G64" s="12">
        <f t="shared" ref="G64:H64" si="32">SUM(G65+G68+G71)</f>
        <v>23080.07</v>
      </c>
      <c r="H64" s="12">
        <f t="shared" si="32"/>
        <v>23976.339999999997</v>
      </c>
    </row>
    <row r="65" spans="1:8" ht="36" x14ac:dyDescent="0.25">
      <c r="A65" s="19">
        <f t="shared" si="2"/>
        <v>55</v>
      </c>
      <c r="B65" s="10" t="s">
        <v>38</v>
      </c>
      <c r="C65" s="11" t="s">
        <v>47</v>
      </c>
      <c r="D65" s="11" t="s">
        <v>58</v>
      </c>
      <c r="E65" s="11"/>
      <c r="F65" s="12">
        <f>SUM(F66:F67)</f>
        <v>21074.86</v>
      </c>
      <c r="G65" s="12">
        <f t="shared" ref="G65:H65" si="33">SUM(G66:G67)</f>
        <v>21930.3</v>
      </c>
      <c r="H65" s="12">
        <f t="shared" si="33"/>
        <v>22826.55</v>
      </c>
    </row>
    <row r="66" spans="1:8" ht="36" x14ac:dyDescent="0.25">
      <c r="A66" s="19">
        <f t="shared" si="2"/>
        <v>56</v>
      </c>
      <c r="B66" s="10" t="s">
        <v>18</v>
      </c>
      <c r="C66" s="11" t="s">
        <v>47</v>
      </c>
      <c r="D66" s="11" t="s">
        <v>58</v>
      </c>
      <c r="E66" s="11" t="s">
        <v>19</v>
      </c>
      <c r="F66" s="12">
        <v>20828.09</v>
      </c>
      <c r="G66" s="12">
        <v>21678.93</v>
      </c>
      <c r="H66" s="12">
        <v>22575.18</v>
      </c>
    </row>
    <row r="67" spans="1:8" ht="54" x14ac:dyDescent="0.25">
      <c r="A67" s="19">
        <f t="shared" si="2"/>
        <v>57</v>
      </c>
      <c r="B67" s="10" t="s">
        <v>28</v>
      </c>
      <c r="C67" s="11" t="s">
        <v>47</v>
      </c>
      <c r="D67" s="11" t="s">
        <v>58</v>
      </c>
      <c r="E67" s="11" t="s">
        <v>29</v>
      </c>
      <c r="F67" s="12">
        <v>246.77</v>
      </c>
      <c r="G67" s="12">
        <v>251.37</v>
      </c>
      <c r="H67" s="12">
        <v>251.37</v>
      </c>
    </row>
    <row r="68" spans="1:8" ht="72" x14ac:dyDescent="0.25">
      <c r="A68" s="19">
        <f t="shared" si="2"/>
        <v>58</v>
      </c>
      <c r="B68" s="10" t="s">
        <v>59</v>
      </c>
      <c r="C68" s="11" t="s">
        <v>47</v>
      </c>
      <c r="D68" s="11" t="s">
        <v>60</v>
      </c>
      <c r="E68" s="11"/>
      <c r="F68" s="12">
        <f>SUM(F69:F70)</f>
        <v>209.2</v>
      </c>
      <c r="G68" s="12">
        <f t="shared" ref="G68:H68" si="34">SUM(G69:G70)</f>
        <v>30.619999999999997</v>
      </c>
      <c r="H68" s="12">
        <f t="shared" si="34"/>
        <v>30.619999999999997</v>
      </c>
    </row>
    <row r="69" spans="1:8" ht="36" x14ac:dyDescent="0.25">
      <c r="A69" s="19">
        <f t="shared" si="2"/>
        <v>59</v>
      </c>
      <c r="B69" s="10" t="s">
        <v>18</v>
      </c>
      <c r="C69" s="11" t="s">
        <v>47</v>
      </c>
      <c r="D69" s="11" t="s">
        <v>60</v>
      </c>
      <c r="E69" s="11" t="s">
        <v>19</v>
      </c>
      <c r="F69" s="12">
        <v>99.2</v>
      </c>
      <c r="G69" s="12">
        <v>11.62</v>
      </c>
      <c r="H69" s="12">
        <v>11.62</v>
      </c>
    </row>
    <row r="70" spans="1:8" ht="54" x14ac:dyDescent="0.25">
      <c r="A70" s="19">
        <f t="shared" si="2"/>
        <v>60</v>
      </c>
      <c r="B70" s="10" t="s">
        <v>28</v>
      </c>
      <c r="C70" s="11" t="s">
        <v>47</v>
      </c>
      <c r="D70" s="11" t="s">
        <v>60</v>
      </c>
      <c r="E70" s="11" t="s">
        <v>29</v>
      </c>
      <c r="F70" s="12">
        <v>110</v>
      </c>
      <c r="G70" s="12">
        <v>19</v>
      </c>
      <c r="H70" s="12">
        <v>19</v>
      </c>
    </row>
    <row r="71" spans="1:8" ht="72" x14ac:dyDescent="0.25">
      <c r="A71" s="19">
        <f t="shared" si="2"/>
        <v>61</v>
      </c>
      <c r="B71" s="10" t="s">
        <v>61</v>
      </c>
      <c r="C71" s="11" t="s">
        <v>47</v>
      </c>
      <c r="D71" s="11" t="s">
        <v>62</v>
      </c>
      <c r="E71" s="11"/>
      <c r="F71" s="12">
        <f>SUM(F72)</f>
        <v>896.21</v>
      </c>
      <c r="G71" s="12">
        <f t="shared" ref="G71:H71" si="35">SUM(G72)</f>
        <v>1119.1500000000001</v>
      </c>
      <c r="H71" s="12">
        <f t="shared" si="35"/>
        <v>1119.17</v>
      </c>
    </row>
    <row r="72" spans="1:8" ht="54" x14ac:dyDescent="0.25">
      <c r="A72" s="19">
        <f t="shared" si="2"/>
        <v>62</v>
      </c>
      <c r="B72" s="10" t="s">
        <v>28</v>
      </c>
      <c r="C72" s="11" t="s">
        <v>47</v>
      </c>
      <c r="D72" s="11" t="s">
        <v>62</v>
      </c>
      <c r="E72" s="11" t="s">
        <v>29</v>
      </c>
      <c r="F72" s="12">
        <f>949.64-53.43</f>
        <v>896.21</v>
      </c>
      <c r="G72" s="12">
        <v>1119.1500000000001</v>
      </c>
      <c r="H72" s="12">
        <v>1119.17</v>
      </c>
    </row>
    <row r="73" spans="1:8" x14ac:dyDescent="0.25">
      <c r="A73" s="19">
        <f t="shared" si="2"/>
        <v>63</v>
      </c>
      <c r="B73" s="10" t="s">
        <v>22</v>
      </c>
      <c r="C73" s="11" t="s">
        <v>47</v>
      </c>
      <c r="D73" s="11" t="s">
        <v>23</v>
      </c>
      <c r="E73" s="11"/>
      <c r="F73" s="12">
        <f>SUM(F74+F77+F79+F82+F84)</f>
        <v>5174.17</v>
      </c>
      <c r="G73" s="12">
        <f t="shared" ref="G73:H73" si="36">SUM(G74+G77+G79+G82+G84)</f>
        <v>5259.97</v>
      </c>
      <c r="H73" s="12">
        <f t="shared" si="36"/>
        <v>5394.7100000000009</v>
      </c>
    </row>
    <row r="74" spans="1:8" ht="72" x14ac:dyDescent="0.25">
      <c r="A74" s="19">
        <f t="shared" si="2"/>
        <v>64</v>
      </c>
      <c r="B74" s="10" t="s">
        <v>26</v>
      </c>
      <c r="C74" s="11" t="s">
        <v>47</v>
      </c>
      <c r="D74" s="11" t="s">
        <v>27</v>
      </c>
      <c r="E74" s="11"/>
      <c r="F74" s="12">
        <f>SUM(F75:F76)</f>
        <v>69.960000000000008</v>
      </c>
      <c r="G74" s="12">
        <f t="shared" ref="G74:H74" si="37">SUM(G75:G76)</f>
        <v>69.960000000000008</v>
      </c>
      <c r="H74" s="12">
        <f t="shared" si="37"/>
        <v>69.960000000000008</v>
      </c>
    </row>
    <row r="75" spans="1:8" ht="36" x14ac:dyDescent="0.25">
      <c r="A75" s="19">
        <f t="shared" si="2"/>
        <v>65</v>
      </c>
      <c r="B75" s="10" t="s">
        <v>18</v>
      </c>
      <c r="C75" s="11" t="s">
        <v>47</v>
      </c>
      <c r="D75" s="11" t="s">
        <v>27</v>
      </c>
      <c r="E75" s="11" t="s">
        <v>19</v>
      </c>
      <c r="F75" s="12">
        <v>18.96</v>
      </c>
      <c r="G75" s="12">
        <v>18.96</v>
      </c>
      <c r="H75" s="12">
        <v>18.96</v>
      </c>
    </row>
    <row r="76" spans="1:8" ht="54" x14ac:dyDescent="0.25">
      <c r="A76" s="19">
        <f t="shared" si="2"/>
        <v>66</v>
      </c>
      <c r="B76" s="10" t="s">
        <v>28</v>
      </c>
      <c r="C76" s="11" t="s">
        <v>47</v>
      </c>
      <c r="D76" s="11" t="s">
        <v>27</v>
      </c>
      <c r="E76" s="11" t="s">
        <v>29</v>
      </c>
      <c r="F76" s="12">
        <v>51</v>
      </c>
      <c r="G76" s="12">
        <v>51</v>
      </c>
      <c r="H76" s="12">
        <v>51</v>
      </c>
    </row>
    <row r="77" spans="1:8" ht="36" x14ac:dyDescent="0.25">
      <c r="A77" s="19">
        <f t="shared" si="2"/>
        <v>67</v>
      </c>
      <c r="B77" s="10" t="s">
        <v>63</v>
      </c>
      <c r="C77" s="11" t="s">
        <v>47</v>
      </c>
      <c r="D77" s="11" t="s">
        <v>64</v>
      </c>
      <c r="E77" s="11"/>
      <c r="F77" s="12">
        <f>SUM(F78)</f>
        <v>1978.4</v>
      </c>
      <c r="G77" s="12">
        <f t="shared" ref="G77:H77" si="38">SUM(G78)</f>
        <v>2065.0500000000002</v>
      </c>
      <c r="H77" s="12">
        <f t="shared" si="38"/>
        <v>2147.8200000000002</v>
      </c>
    </row>
    <row r="78" spans="1:8" ht="36" x14ac:dyDescent="0.25">
      <c r="A78" s="19">
        <f t="shared" si="2"/>
        <v>68</v>
      </c>
      <c r="B78" s="10" t="s">
        <v>18</v>
      </c>
      <c r="C78" s="11" t="s">
        <v>47</v>
      </c>
      <c r="D78" s="11" t="s">
        <v>64</v>
      </c>
      <c r="E78" s="11" t="s">
        <v>19</v>
      </c>
      <c r="F78" s="12">
        <v>1978.4</v>
      </c>
      <c r="G78" s="12">
        <v>2065.0500000000002</v>
      </c>
      <c r="H78" s="12">
        <v>2147.8200000000002</v>
      </c>
    </row>
    <row r="79" spans="1:8" ht="36" x14ac:dyDescent="0.25">
      <c r="A79" s="19">
        <f t="shared" si="2"/>
        <v>69</v>
      </c>
      <c r="B79" s="10" t="s">
        <v>65</v>
      </c>
      <c r="C79" s="11" t="s">
        <v>47</v>
      </c>
      <c r="D79" s="11" t="s">
        <v>66</v>
      </c>
      <c r="E79" s="11"/>
      <c r="F79" s="12">
        <f>SUM(F80:F81)</f>
        <v>2990.27</v>
      </c>
      <c r="G79" s="12">
        <f t="shared" ref="G79:H79" si="39">SUM(G80:G81)</f>
        <v>3124.96</v>
      </c>
      <c r="H79" s="12">
        <f t="shared" si="39"/>
        <v>3176.9300000000003</v>
      </c>
    </row>
    <row r="80" spans="1:8" ht="36" x14ac:dyDescent="0.25">
      <c r="A80" s="19">
        <f t="shared" si="2"/>
        <v>70</v>
      </c>
      <c r="B80" s="10" t="s">
        <v>18</v>
      </c>
      <c r="C80" s="11" t="s">
        <v>47</v>
      </c>
      <c r="D80" s="11" t="s">
        <v>66</v>
      </c>
      <c r="E80" s="11" t="s">
        <v>19</v>
      </c>
      <c r="F80" s="12">
        <v>2485.98</v>
      </c>
      <c r="G80" s="12">
        <v>2590.87</v>
      </c>
      <c r="H80" s="12">
        <v>2692.84</v>
      </c>
    </row>
    <row r="81" spans="1:8" ht="54" x14ac:dyDescent="0.25">
      <c r="A81" s="19">
        <f t="shared" si="2"/>
        <v>71</v>
      </c>
      <c r="B81" s="10" t="s">
        <v>28</v>
      </c>
      <c r="C81" s="11" t="s">
        <v>47</v>
      </c>
      <c r="D81" s="11" t="s">
        <v>66</v>
      </c>
      <c r="E81" s="11" t="s">
        <v>29</v>
      </c>
      <c r="F81" s="12">
        <v>504.29</v>
      </c>
      <c r="G81" s="12">
        <v>534.09</v>
      </c>
      <c r="H81" s="12">
        <v>484.09</v>
      </c>
    </row>
    <row r="82" spans="1:8" ht="36" x14ac:dyDescent="0.25">
      <c r="A82" s="19">
        <f t="shared" si="2"/>
        <v>72</v>
      </c>
      <c r="B82" s="10" t="s">
        <v>795</v>
      </c>
      <c r="C82" s="11" t="s">
        <v>47</v>
      </c>
      <c r="D82" s="11">
        <v>7000140700</v>
      </c>
      <c r="E82" s="11"/>
      <c r="F82" s="12">
        <f>SUM(F83)</f>
        <v>16.8</v>
      </c>
      <c r="G82" s="12">
        <f t="shared" ref="G82:H82" si="40">SUM(G83)</f>
        <v>0</v>
      </c>
      <c r="H82" s="12">
        <f t="shared" si="40"/>
        <v>0</v>
      </c>
    </row>
    <row r="83" spans="1:8" ht="36" x14ac:dyDescent="0.25">
      <c r="A83" s="19">
        <f t="shared" si="2"/>
        <v>73</v>
      </c>
      <c r="B83" s="10" t="s">
        <v>18</v>
      </c>
      <c r="C83" s="11" t="s">
        <v>47</v>
      </c>
      <c r="D83" s="11">
        <v>7000140700</v>
      </c>
      <c r="E83" s="11">
        <v>120</v>
      </c>
      <c r="F83" s="12">
        <v>16.8</v>
      </c>
      <c r="G83" s="12">
        <v>0</v>
      </c>
      <c r="H83" s="12">
        <v>0</v>
      </c>
    </row>
    <row r="84" spans="1:8" ht="90" x14ac:dyDescent="0.25">
      <c r="A84" s="19">
        <f t="shared" si="2"/>
        <v>74</v>
      </c>
      <c r="B84" s="10" t="s">
        <v>830</v>
      </c>
      <c r="C84" s="11" t="s">
        <v>47</v>
      </c>
      <c r="D84" s="11">
        <v>7000155490</v>
      </c>
      <c r="E84" s="11"/>
      <c r="F84" s="12">
        <f>SUM(F85)</f>
        <v>118.74</v>
      </c>
      <c r="G84" s="12">
        <f t="shared" ref="G84:H84" si="41">SUM(G85)</f>
        <v>0</v>
      </c>
      <c r="H84" s="12">
        <f t="shared" si="41"/>
        <v>0</v>
      </c>
    </row>
    <row r="85" spans="1:8" ht="36" x14ac:dyDescent="0.25">
      <c r="A85" s="19">
        <f t="shared" si="2"/>
        <v>75</v>
      </c>
      <c r="B85" s="10" t="s">
        <v>18</v>
      </c>
      <c r="C85" s="11" t="s">
        <v>47</v>
      </c>
      <c r="D85" s="11">
        <v>7000155490</v>
      </c>
      <c r="E85" s="11">
        <v>120</v>
      </c>
      <c r="F85" s="12">
        <v>118.74</v>
      </c>
      <c r="G85" s="12">
        <v>0</v>
      </c>
      <c r="H85" s="12">
        <v>0</v>
      </c>
    </row>
    <row r="86" spans="1:8" x14ac:dyDescent="0.25">
      <c r="A86" s="18">
        <f t="shared" si="2"/>
        <v>76</v>
      </c>
      <c r="B86" s="14" t="s">
        <v>67</v>
      </c>
      <c r="C86" s="15" t="s">
        <v>68</v>
      </c>
      <c r="D86" s="15"/>
      <c r="E86" s="15"/>
      <c r="F86" s="16">
        <f>SUM(F87)</f>
        <v>15800</v>
      </c>
      <c r="G86" s="16">
        <f t="shared" ref="G86:H86" si="42">SUM(G87)</f>
        <v>10000</v>
      </c>
      <c r="H86" s="16">
        <f t="shared" si="42"/>
        <v>10000</v>
      </c>
    </row>
    <row r="87" spans="1:8" x14ac:dyDescent="0.25">
      <c r="A87" s="19">
        <f t="shared" si="2"/>
        <v>77</v>
      </c>
      <c r="B87" s="10" t="s">
        <v>22</v>
      </c>
      <c r="C87" s="11" t="s">
        <v>68</v>
      </c>
      <c r="D87" s="11" t="s">
        <v>23</v>
      </c>
      <c r="E87" s="11"/>
      <c r="F87" s="12">
        <f>SUM(F88)</f>
        <v>15800</v>
      </c>
      <c r="G87" s="12">
        <f t="shared" ref="G87:H87" si="43">SUM(G88)</f>
        <v>10000</v>
      </c>
      <c r="H87" s="12">
        <f t="shared" si="43"/>
        <v>10000</v>
      </c>
    </row>
    <row r="88" spans="1:8" ht="36" x14ac:dyDescent="0.25">
      <c r="A88" s="19">
        <f t="shared" si="2"/>
        <v>78</v>
      </c>
      <c r="B88" s="10" t="s">
        <v>69</v>
      </c>
      <c r="C88" s="11" t="s">
        <v>68</v>
      </c>
      <c r="D88" s="11" t="s">
        <v>70</v>
      </c>
      <c r="E88" s="11"/>
      <c r="F88" s="12">
        <f>SUM(F89)</f>
        <v>15800</v>
      </c>
      <c r="G88" s="12">
        <f t="shared" ref="G88:H88" si="44">SUM(G89)</f>
        <v>10000</v>
      </c>
      <c r="H88" s="12">
        <f t="shared" si="44"/>
        <v>10000</v>
      </c>
    </row>
    <row r="89" spans="1:8" x14ac:dyDescent="0.25">
      <c r="A89" s="19">
        <f t="shared" si="2"/>
        <v>79</v>
      </c>
      <c r="B89" s="10" t="s">
        <v>71</v>
      </c>
      <c r="C89" s="11" t="s">
        <v>68</v>
      </c>
      <c r="D89" s="11" t="s">
        <v>70</v>
      </c>
      <c r="E89" s="11" t="s">
        <v>72</v>
      </c>
      <c r="F89" s="12">
        <f>10000+5800</f>
        <v>15800</v>
      </c>
      <c r="G89" s="12">
        <v>10000</v>
      </c>
      <c r="H89" s="12">
        <v>10000</v>
      </c>
    </row>
    <row r="90" spans="1:8" ht="36" x14ac:dyDescent="0.25">
      <c r="A90" s="18">
        <f t="shared" si="2"/>
        <v>80</v>
      </c>
      <c r="B90" s="14" t="s">
        <v>73</v>
      </c>
      <c r="C90" s="15" t="s">
        <v>74</v>
      </c>
      <c r="D90" s="15"/>
      <c r="E90" s="15"/>
      <c r="F90" s="16">
        <f>SUM(F91+F104+F118+F122)</f>
        <v>58061.260000000009</v>
      </c>
      <c r="G90" s="16">
        <f t="shared" ref="G90:H90" si="45">SUM(G91+G104+G118+G122)</f>
        <v>7323.1</v>
      </c>
      <c r="H90" s="16">
        <f t="shared" si="45"/>
        <v>4190.1000000000004</v>
      </c>
    </row>
    <row r="91" spans="1:8" ht="72" x14ac:dyDescent="0.25">
      <c r="A91" s="19">
        <f t="shared" si="2"/>
        <v>81</v>
      </c>
      <c r="B91" s="10" t="s">
        <v>12</v>
      </c>
      <c r="C91" s="11" t="s">
        <v>74</v>
      </c>
      <c r="D91" s="11" t="s">
        <v>13</v>
      </c>
      <c r="E91" s="11"/>
      <c r="F91" s="12">
        <v>523.29999999999995</v>
      </c>
      <c r="G91" s="12">
        <v>538.1</v>
      </c>
      <c r="H91" s="12">
        <v>553.1</v>
      </c>
    </row>
    <row r="92" spans="1:8" ht="54" x14ac:dyDescent="0.25">
      <c r="A92" s="19">
        <f t="shared" si="2"/>
        <v>82</v>
      </c>
      <c r="B92" s="10" t="s">
        <v>75</v>
      </c>
      <c r="C92" s="11" t="s">
        <v>74</v>
      </c>
      <c r="D92" s="11" t="s">
        <v>76</v>
      </c>
      <c r="E92" s="11"/>
      <c r="F92" s="12">
        <f>SUM(F93)</f>
        <v>20</v>
      </c>
      <c r="G92" s="12">
        <f t="shared" ref="G92:H92" si="46">SUM(G93)</f>
        <v>20</v>
      </c>
      <c r="H92" s="12">
        <f t="shared" si="46"/>
        <v>20</v>
      </c>
    </row>
    <row r="93" spans="1:8" ht="108" x14ac:dyDescent="0.25">
      <c r="A93" s="19">
        <f t="shared" si="2"/>
        <v>83</v>
      </c>
      <c r="B93" s="10" t="s">
        <v>77</v>
      </c>
      <c r="C93" s="11" t="s">
        <v>74</v>
      </c>
      <c r="D93" s="11" t="s">
        <v>78</v>
      </c>
      <c r="E93" s="11"/>
      <c r="F93" s="12">
        <f>SUM(F94)</f>
        <v>20</v>
      </c>
      <c r="G93" s="12">
        <f t="shared" ref="G93:H93" si="47">SUM(G94)</f>
        <v>20</v>
      </c>
      <c r="H93" s="12">
        <f t="shared" si="47"/>
        <v>20</v>
      </c>
    </row>
    <row r="94" spans="1:8" ht="54" x14ac:dyDescent="0.25">
      <c r="A94" s="19">
        <f t="shared" si="2"/>
        <v>84</v>
      </c>
      <c r="B94" s="10" t="s">
        <v>28</v>
      </c>
      <c r="C94" s="11" t="s">
        <v>74</v>
      </c>
      <c r="D94" s="11" t="s">
        <v>78</v>
      </c>
      <c r="E94" s="11" t="s">
        <v>29</v>
      </c>
      <c r="F94" s="12">
        <v>20</v>
      </c>
      <c r="G94" s="12">
        <v>20</v>
      </c>
      <c r="H94" s="12">
        <v>20</v>
      </c>
    </row>
    <row r="95" spans="1:8" ht="90" x14ac:dyDescent="0.25">
      <c r="A95" s="19">
        <f t="shared" ref="A95:A163" si="48">SUM(A94+1)</f>
        <v>85</v>
      </c>
      <c r="B95" s="10" t="s">
        <v>14</v>
      </c>
      <c r="C95" s="11" t="s">
        <v>74</v>
      </c>
      <c r="D95" s="11" t="s">
        <v>15</v>
      </c>
      <c r="E95" s="11"/>
      <c r="F95" s="12">
        <f>SUM(F96+F98+F100+F102)</f>
        <v>503.3</v>
      </c>
      <c r="G95" s="12">
        <f t="shared" ref="G95:H95" si="49">SUM(G96+G98+G100+G102)</f>
        <v>518.1</v>
      </c>
      <c r="H95" s="12">
        <f t="shared" si="49"/>
        <v>533.1</v>
      </c>
    </row>
    <row r="96" spans="1:8" ht="126" x14ac:dyDescent="0.25">
      <c r="A96" s="19">
        <f t="shared" si="48"/>
        <v>86</v>
      </c>
      <c r="B96" s="10" t="s">
        <v>79</v>
      </c>
      <c r="C96" s="11" t="s">
        <v>74</v>
      </c>
      <c r="D96" s="11" t="s">
        <v>80</v>
      </c>
      <c r="E96" s="11"/>
      <c r="F96" s="12">
        <f>SUM(F97)</f>
        <v>0.2</v>
      </c>
      <c r="G96" s="12">
        <f t="shared" ref="G96:H96" si="50">SUM(G97)</f>
        <v>0.2</v>
      </c>
      <c r="H96" s="12">
        <f t="shared" si="50"/>
        <v>0.2</v>
      </c>
    </row>
    <row r="97" spans="1:8" ht="54" x14ac:dyDescent="0.25">
      <c r="A97" s="19">
        <f t="shared" si="48"/>
        <v>87</v>
      </c>
      <c r="B97" s="10" t="s">
        <v>28</v>
      </c>
      <c r="C97" s="11" t="s">
        <v>74</v>
      </c>
      <c r="D97" s="11" t="s">
        <v>80</v>
      </c>
      <c r="E97" s="11" t="s">
        <v>29</v>
      </c>
      <c r="F97" s="12">
        <v>0.2</v>
      </c>
      <c r="G97" s="12">
        <v>0.2</v>
      </c>
      <c r="H97" s="12">
        <v>0.2</v>
      </c>
    </row>
    <row r="98" spans="1:8" ht="54" x14ac:dyDescent="0.25">
      <c r="A98" s="19">
        <f t="shared" si="48"/>
        <v>88</v>
      </c>
      <c r="B98" s="10" t="s">
        <v>81</v>
      </c>
      <c r="C98" s="11" t="s">
        <v>74</v>
      </c>
      <c r="D98" s="11" t="s">
        <v>82</v>
      </c>
      <c r="E98" s="11"/>
      <c r="F98" s="12">
        <f>SUM(F99)</f>
        <v>120.9</v>
      </c>
      <c r="G98" s="12">
        <f t="shared" ref="G98:H98" si="51">SUM(G99)</f>
        <v>119.7</v>
      </c>
      <c r="H98" s="12">
        <f t="shared" si="51"/>
        <v>119.7</v>
      </c>
    </row>
    <row r="99" spans="1:8" ht="54" x14ac:dyDescent="0.25">
      <c r="A99" s="19">
        <f t="shared" si="48"/>
        <v>89</v>
      </c>
      <c r="B99" s="10" t="s">
        <v>28</v>
      </c>
      <c r="C99" s="11" t="s">
        <v>74</v>
      </c>
      <c r="D99" s="11" t="s">
        <v>82</v>
      </c>
      <c r="E99" s="11" t="s">
        <v>29</v>
      </c>
      <c r="F99" s="12">
        <v>120.9</v>
      </c>
      <c r="G99" s="12">
        <v>119.7</v>
      </c>
      <c r="H99" s="12">
        <v>119.7</v>
      </c>
    </row>
    <row r="100" spans="1:8" ht="180" x14ac:dyDescent="0.25">
      <c r="A100" s="19">
        <f t="shared" si="48"/>
        <v>90</v>
      </c>
      <c r="B100" s="10" t="s">
        <v>83</v>
      </c>
      <c r="C100" s="11" t="s">
        <v>74</v>
      </c>
      <c r="D100" s="11" t="s">
        <v>84</v>
      </c>
      <c r="E100" s="11"/>
      <c r="F100" s="12">
        <f>SUM(F101)</f>
        <v>0.2</v>
      </c>
      <c r="G100" s="12">
        <f t="shared" ref="G100:H100" si="52">SUM(G101)</f>
        <v>0.2</v>
      </c>
      <c r="H100" s="12">
        <f t="shared" si="52"/>
        <v>0.2</v>
      </c>
    </row>
    <row r="101" spans="1:8" ht="54" x14ac:dyDescent="0.25">
      <c r="A101" s="19">
        <f t="shared" si="48"/>
        <v>91</v>
      </c>
      <c r="B101" s="10" t="s">
        <v>28</v>
      </c>
      <c r="C101" s="11" t="s">
        <v>74</v>
      </c>
      <c r="D101" s="11" t="s">
        <v>84</v>
      </c>
      <c r="E101" s="11" t="s">
        <v>29</v>
      </c>
      <c r="F101" s="12">
        <v>0.2</v>
      </c>
      <c r="G101" s="12">
        <v>0.2</v>
      </c>
      <c r="H101" s="12">
        <v>0.2</v>
      </c>
    </row>
    <row r="102" spans="1:8" ht="126" x14ac:dyDescent="0.25">
      <c r="A102" s="19">
        <f t="shared" si="48"/>
        <v>92</v>
      </c>
      <c r="B102" s="10" t="s">
        <v>85</v>
      </c>
      <c r="C102" s="11" t="s">
        <v>74</v>
      </c>
      <c r="D102" s="11" t="s">
        <v>86</v>
      </c>
      <c r="E102" s="11"/>
      <c r="F102" s="12">
        <f>SUM(F103)</f>
        <v>382</v>
      </c>
      <c r="G102" s="12">
        <f t="shared" ref="G102:H102" si="53">SUM(G103)</f>
        <v>398</v>
      </c>
      <c r="H102" s="12">
        <f t="shared" si="53"/>
        <v>413</v>
      </c>
    </row>
    <row r="103" spans="1:8" ht="54" x14ac:dyDescent="0.25">
      <c r="A103" s="19">
        <f t="shared" si="48"/>
        <v>93</v>
      </c>
      <c r="B103" s="10" t="s">
        <v>28</v>
      </c>
      <c r="C103" s="11" t="s">
        <v>74</v>
      </c>
      <c r="D103" s="11" t="s">
        <v>86</v>
      </c>
      <c r="E103" s="11" t="s">
        <v>29</v>
      </c>
      <c r="F103" s="12">
        <v>382</v>
      </c>
      <c r="G103" s="12">
        <v>398</v>
      </c>
      <c r="H103" s="12">
        <v>413</v>
      </c>
    </row>
    <row r="104" spans="1:8" ht="108" x14ac:dyDescent="0.25">
      <c r="A104" s="19">
        <f t="shared" si="48"/>
        <v>94</v>
      </c>
      <c r="B104" s="10" t="s">
        <v>87</v>
      </c>
      <c r="C104" s="11" t="s">
        <v>74</v>
      </c>
      <c r="D104" s="11" t="s">
        <v>88</v>
      </c>
      <c r="E104" s="11"/>
      <c r="F104" s="12">
        <f>SUM(F105)</f>
        <v>34925.440000000002</v>
      </c>
      <c r="G104" s="12">
        <f t="shared" ref="G104:H104" si="54">SUM(G105)</f>
        <v>3780</v>
      </c>
      <c r="H104" s="12">
        <f t="shared" si="54"/>
        <v>780</v>
      </c>
    </row>
    <row r="105" spans="1:8" ht="144" x14ac:dyDescent="0.25">
      <c r="A105" s="19">
        <f t="shared" si="48"/>
        <v>95</v>
      </c>
      <c r="B105" s="10" t="s">
        <v>89</v>
      </c>
      <c r="C105" s="11" t="s">
        <v>74</v>
      </c>
      <c r="D105" s="11" t="s">
        <v>90</v>
      </c>
      <c r="E105" s="11"/>
      <c r="F105" s="12">
        <f>SUM(F106+F108+F110+F112+F114+F116)</f>
        <v>34925.440000000002</v>
      </c>
      <c r="G105" s="12">
        <f t="shared" ref="G105:H105" si="55">SUM(G106+G108+G110+G112+G114+G116)</f>
        <v>3780</v>
      </c>
      <c r="H105" s="12">
        <f t="shared" si="55"/>
        <v>780</v>
      </c>
    </row>
    <row r="106" spans="1:8" ht="36" x14ac:dyDescent="0.25">
      <c r="A106" s="19">
        <f t="shared" si="48"/>
        <v>96</v>
      </c>
      <c r="B106" s="10" t="s">
        <v>91</v>
      </c>
      <c r="C106" s="11" t="s">
        <v>74</v>
      </c>
      <c r="D106" s="11" t="s">
        <v>92</v>
      </c>
      <c r="E106" s="11"/>
      <c r="F106" s="12">
        <f>SUM(F107)</f>
        <v>6548.5</v>
      </c>
      <c r="G106" s="12">
        <f t="shared" ref="G106:H106" si="56">SUM(G107)</f>
        <v>3000</v>
      </c>
      <c r="H106" s="12">
        <f t="shared" si="56"/>
        <v>0</v>
      </c>
    </row>
    <row r="107" spans="1:8" ht="36" x14ac:dyDescent="0.25">
      <c r="A107" s="19">
        <f t="shared" si="48"/>
        <v>97</v>
      </c>
      <c r="B107" s="10" t="s">
        <v>40</v>
      </c>
      <c r="C107" s="11" t="s">
        <v>74</v>
      </c>
      <c r="D107" s="11" t="s">
        <v>92</v>
      </c>
      <c r="E107" s="11" t="s">
        <v>41</v>
      </c>
      <c r="F107" s="12">
        <f>3042-2342+5848.5</f>
        <v>6548.5</v>
      </c>
      <c r="G107" s="12">
        <v>3000</v>
      </c>
      <c r="H107" s="12">
        <v>0</v>
      </c>
    </row>
    <row r="108" spans="1:8" ht="108" x14ac:dyDescent="0.25">
      <c r="A108" s="19">
        <f t="shared" si="48"/>
        <v>98</v>
      </c>
      <c r="B108" s="10" t="s">
        <v>93</v>
      </c>
      <c r="C108" s="11" t="s">
        <v>74</v>
      </c>
      <c r="D108" s="11" t="s">
        <v>94</v>
      </c>
      <c r="E108" s="11"/>
      <c r="F108" s="12">
        <f>SUM(F109)</f>
        <v>25648</v>
      </c>
      <c r="G108" s="12">
        <f t="shared" ref="G108:H108" si="57">SUM(G109)</f>
        <v>100</v>
      </c>
      <c r="H108" s="12">
        <f t="shared" si="57"/>
        <v>100</v>
      </c>
    </row>
    <row r="109" spans="1:8" ht="54" x14ac:dyDescent="0.25">
      <c r="A109" s="19">
        <f t="shared" si="48"/>
        <v>99</v>
      </c>
      <c r="B109" s="10" t="s">
        <v>28</v>
      </c>
      <c r="C109" s="11" t="s">
        <v>74</v>
      </c>
      <c r="D109" s="11" t="s">
        <v>94</v>
      </c>
      <c r="E109" s="11" t="s">
        <v>29</v>
      </c>
      <c r="F109" s="12">
        <f>24268+1380</f>
        <v>25648</v>
      </c>
      <c r="G109" s="12">
        <v>100</v>
      </c>
      <c r="H109" s="12">
        <v>100</v>
      </c>
    </row>
    <row r="110" spans="1:8" ht="54" x14ac:dyDescent="0.25">
      <c r="A110" s="19">
        <f t="shared" si="48"/>
        <v>100</v>
      </c>
      <c r="B110" s="10" t="s">
        <v>95</v>
      </c>
      <c r="C110" s="11" t="s">
        <v>74</v>
      </c>
      <c r="D110" s="11" t="s">
        <v>96</v>
      </c>
      <c r="E110" s="11"/>
      <c r="F110" s="12">
        <f>SUM(F111)</f>
        <v>1368.94</v>
      </c>
      <c r="G110" s="12">
        <f t="shared" ref="G110:H110" si="58">SUM(G111)</f>
        <v>570</v>
      </c>
      <c r="H110" s="12">
        <f t="shared" si="58"/>
        <v>570</v>
      </c>
    </row>
    <row r="111" spans="1:8" ht="54" x14ac:dyDescent="0.25">
      <c r="A111" s="19">
        <f t="shared" si="48"/>
        <v>101</v>
      </c>
      <c r="B111" s="10" t="s">
        <v>28</v>
      </c>
      <c r="C111" s="11" t="s">
        <v>74</v>
      </c>
      <c r="D111" s="11" t="s">
        <v>96</v>
      </c>
      <c r="E111" s="11" t="s">
        <v>29</v>
      </c>
      <c r="F111" s="12">
        <v>1368.94</v>
      </c>
      <c r="G111" s="12">
        <v>570</v>
      </c>
      <c r="H111" s="12">
        <v>570</v>
      </c>
    </row>
    <row r="112" spans="1:8" ht="90" x14ac:dyDescent="0.25">
      <c r="A112" s="19">
        <f t="shared" si="48"/>
        <v>102</v>
      </c>
      <c r="B112" s="10" t="s">
        <v>97</v>
      </c>
      <c r="C112" s="11" t="s">
        <v>74</v>
      </c>
      <c r="D112" s="11" t="s">
        <v>98</v>
      </c>
      <c r="E112" s="11"/>
      <c r="F112" s="12">
        <f>SUM(F113)</f>
        <v>1360</v>
      </c>
      <c r="G112" s="12">
        <f t="shared" ref="G112:H112" si="59">SUM(G113)</f>
        <v>0</v>
      </c>
      <c r="H112" s="12">
        <f t="shared" si="59"/>
        <v>0</v>
      </c>
    </row>
    <row r="113" spans="1:8" ht="54" x14ac:dyDescent="0.25">
      <c r="A113" s="19">
        <f t="shared" si="48"/>
        <v>103</v>
      </c>
      <c r="B113" s="10" t="s">
        <v>28</v>
      </c>
      <c r="C113" s="11" t="s">
        <v>74</v>
      </c>
      <c r="D113" s="11" t="s">
        <v>98</v>
      </c>
      <c r="E113" s="11" t="s">
        <v>29</v>
      </c>
      <c r="F113" s="12">
        <v>1360</v>
      </c>
      <c r="G113" s="12">
        <v>0</v>
      </c>
      <c r="H113" s="12">
        <v>0</v>
      </c>
    </row>
    <row r="114" spans="1:8" ht="72" x14ac:dyDescent="0.25">
      <c r="A114" s="19">
        <f t="shared" si="48"/>
        <v>104</v>
      </c>
      <c r="B114" s="10" t="s">
        <v>99</v>
      </c>
      <c r="C114" s="11" t="s">
        <v>74</v>
      </c>
      <c r="D114" s="11" t="s">
        <v>100</v>
      </c>
      <c r="E114" s="11"/>
      <c r="F114" s="12">
        <f>SUM(F115)</f>
        <v>0</v>
      </c>
      <c r="G114" s="12">
        <f t="shared" ref="G114:H114" si="60">SUM(G115)</f>
        <v>100</v>
      </c>
      <c r="H114" s="12">
        <f t="shared" si="60"/>
        <v>100</v>
      </c>
    </row>
    <row r="115" spans="1:8" ht="54" x14ac:dyDescent="0.25">
      <c r="A115" s="19">
        <f t="shared" si="48"/>
        <v>105</v>
      </c>
      <c r="B115" s="10" t="s">
        <v>28</v>
      </c>
      <c r="C115" s="11" t="s">
        <v>74</v>
      </c>
      <c r="D115" s="11" t="s">
        <v>100</v>
      </c>
      <c r="E115" s="11" t="s">
        <v>29</v>
      </c>
      <c r="F115" s="12">
        <f>100-100</f>
        <v>0</v>
      </c>
      <c r="G115" s="12">
        <v>100</v>
      </c>
      <c r="H115" s="12">
        <v>100</v>
      </c>
    </row>
    <row r="116" spans="1:8" ht="90" x14ac:dyDescent="0.25">
      <c r="A116" s="19">
        <f t="shared" si="48"/>
        <v>106</v>
      </c>
      <c r="B116" s="10" t="s">
        <v>101</v>
      </c>
      <c r="C116" s="11" t="s">
        <v>74</v>
      </c>
      <c r="D116" s="11" t="s">
        <v>102</v>
      </c>
      <c r="E116" s="11"/>
      <c r="F116" s="12">
        <f>SUM(F117)</f>
        <v>0</v>
      </c>
      <c r="G116" s="12">
        <f t="shared" ref="G116:H116" si="61">SUM(G117)</f>
        <v>10</v>
      </c>
      <c r="H116" s="12">
        <f t="shared" si="61"/>
        <v>10</v>
      </c>
    </row>
    <row r="117" spans="1:8" ht="54" x14ac:dyDescent="0.25">
      <c r="A117" s="19">
        <f t="shared" si="48"/>
        <v>107</v>
      </c>
      <c r="B117" s="10" t="s">
        <v>28</v>
      </c>
      <c r="C117" s="11" t="s">
        <v>74</v>
      </c>
      <c r="D117" s="11" t="s">
        <v>102</v>
      </c>
      <c r="E117" s="11" t="s">
        <v>29</v>
      </c>
      <c r="F117" s="12">
        <f>10-10</f>
        <v>0</v>
      </c>
      <c r="G117" s="12">
        <v>10</v>
      </c>
      <c r="H117" s="12">
        <v>10</v>
      </c>
    </row>
    <row r="118" spans="1:8" ht="54" x14ac:dyDescent="0.25">
      <c r="A118" s="19">
        <f t="shared" si="48"/>
        <v>108</v>
      </c>
      <c r="B118" s="10" t="s">
        <v>103</v>
      </c>
      <c r="C118" s="11" t="s">
        <v>74</v>
      </c>
      <c r="D118" s="11" t="s">
        <v>104</v>
      </c>
      <c r="E118" s="11"/>
      <c r="F118" s="12">
        <f>SUM(F119)</f>
        <v>5</v>
      </c>
      <c r="G118" s="12">
        <f t="shared" ref="G118:H118" si="62">SUM(G119)</f>
        <v>5</v>
      </c>
      <c r="H118" s="12">
        <f t="shared" si="62"/>
        <v>5</v>
      </c>
    </row>
    <row r="119" spans="1:8" ht="54" x14ac:dyDescent="0.25">
      <c r="A119" s="19">
        <f t="shared" si="48"/>
        <v>109</v>
      </c>
      <c r="B119" s="10" t="s">
        <v>105</v>
      </c>
      <c r="C119" s="11" t="s">
        <v>74</v>
      </c>
      <c r="D119" s="11" t="s">
        <v>106</v>
      </c>
      <c r="E119" s="11"/>
      <c r="F119" s="12">
        <f>SUM(F120)</f>
        <v>5</v>
      </c>
      <c r="G119" s="12">
        <f t="shared" ref="G119:H119" si="63">SUM(G120)</f>
        <v>5</v>
      </c>
      <c r="H119" s="12">
        <f t="shared" si="63"/>
        <v>5</v>
      </c>
    </row>
    <row r="120" spans="1:8" ht="90" x14ac:dyDescent="0.25">
      <c r="A120" s="19">
        <f t="shared" si="48"/>
        <v>110</v>
      </c>
      <c r="B120" s="10" t="s">
        <v>107</v>
      </c>
      <c r="C120" s="11" t="s">
        <v>74</v>
      </c>
      <c r="D120" s="11" t="s">
        <v>108</v>
      </c>
      <c r="E120" s="11"/>
      <c r="F120" s="12">
        <f>SUM(F121)</f>
        <v>5</v>
      </c>
      <c r="G120" s="12">
        <f t="shared" ref="G120:H120" si="64">SUM(G121)</f>
        <v>5</v>
      </c>
      <c r="H120" s="12">
        <f t="shared" si="64"/>
        <v>5</v>
      </c>
    </row>
    <row r="121" spans="1:8" ht="54" x14ac:dyDescent="0.25">
      <c r="A121" s="19">
        <f t="shared" si="48"/>
        <v>111</v>
      </c>
      <c r="B121" s="10" t="s">
        <v>28</v>
      </c>
      <c r="C121" s="11" t="s">
        <v>74</v>
      </c>
      <c r="D121" s="11" t="s">
        <v>108</v>
      </c>
      <c r="E121" s="11" t="s">
        <v>29</v>
      </c>
      <c r="F121" s="12">
        <v>5</v>
      </c>
      <c r="G121" s="12">
        <v>5</v>
      </c>
      <c r="H121" s="12">
        <v>5</v>
      </c>
    </row>
    <row r="122" spans="1:8" x14ac:dyDescent="0.25">
      <c r="A122" s="19">
        <f t="shared" si="48"/>
        <v>112</v>
      </c>
      <c r="B122" s="10" t="s">
        <v>22</v>
      </c>
      <c r="C122" s="11" t="s">
        <v>74</v>
      </c>
      <c r="D122" s="11" t="s">
        <v>23</v>
      </c>
      <c r="E122" s="11"/>
      <c r="F122" s="12">
        <f>SUM(F123+F125)</f>
        <v>22607.52</v>
      </c>
      <c r="G122" s="12">
        <f t="shared" ref="G122:H122" si="65">SUM(G123+G125)</f>
        <v>3000</v>
      </c>
      <c r="H122" s="12">
        <f t="shared" si="65"/>
        <v>2852</v>
      </c>
    </row>
    <row r="123" spans="1:8" ht="144" x14ac:dyDescent="0.25">
      <c r="A123" s="19">
        <f t="shared" si="48"/>
        <v>113</v>
      </c>
      <c r="B123" s="10" t="s">
        <v>109</v>
      </c>
      <c r="C123" s="11" t="s">
        <v>74</v>
      </c>
      <c r="D123" s="11" t="s">
        <v>110</v>
      </c>
      <c r="E123" s="11"/>
      <c r="F123" s="12">
        <f>SUM(F124)</f>
        <v>3354.52</v>
      </c>
      <c r="G123" s="12">
        <f t="shared" ref="G123:H123" si="66">SUM(G124)</f>
        <v>3000</v>
      </c>
      <c r="H123" s="12">
        <f t="shared" si="66"/>
        <v>2852</v>
      </c>
    </row>
    <row r="124" spans="1:8" x14ac:dyDescent="0.25">
      <c r="A124" s="19">
        <f t="shared" si="48"/>
        <v>114</v>
      </c>
      <c r="B124" s="10" t="s">
        <v>111</v>
      </c>
      <c r="C124" s="11" t="s">
        <v>74</v>
      </c>
      <c r="D124" s="11" t="s">
        <v>110</v>
      </c>
      <c r="E124" s="11" t="s">
        <v>112</v>
      </c>
      <c r="F124" s="12">
        <f>2982.02+372.5</f>
        <v>3354.52</v>
      </c>
      <c r="G124" s="12">
        <v>3000</v>
      </c>
      <c r="H124" s="12">
        <v>2852</v>
      </c>
    </row>
    <row r="125" spans="1:8" ht="108" x14ac:dyDescent="0.25">
      <c r="A125" s="19">
        <f t="shared" si="48"/>
        <v>115</v>
      </c>
      <c r="B125" s="10" t="s">
        <v>823</v>
      </c>
      <c r="C125" s="11" t="s">
        <v>74</v>
      </c>
      <c r="D125" s="24" t="s">
        <v>822</v>
      </c>
      <c r="E125" s="11"/>
      <c r="F125" s="12">
        <f>SUM(F126)</f>
        <v>19253</v>
      </c>
      <c r="G125" s="12">
        <f t="shared" ref="G125:H125" si="67">SUM(G126)</f>
        <v>0</v>
      </c>
      <c r="H125" s="12">
        <f t="shared" si="67"/>
        <v>0</v>
      </c>
    </row>
    <row r="126" spans="1:8" ht="90" x14ac:dyDescent="0.25">
      <c r="A126" s="19">
        <f t="shared" si="48"/>
        <v>116</v>
      </c>
      <c r="B126" s="10" t="s">
        <v>302</v>
      </c>
      <c r="C126" s="11" t="s">
        <v>74</v>
      </c>
      <c r="D126" s="24" t="s">
        <v>822</v>
      </c>
      <c r="E126" s="11">
        <v>810</v>
      </c>
      <c r="F126" s="12">
        <v>19253</v>
      </c>
      <c r="G126" s="12">
        <v>0</v>
      </c>
      <c r="H126" s="12">
        <v>0</v>
      </c>
    </row>
    <row r="127" spans="1:8" ht="54" x14ac:dyDescent="0.25">
      <c r="A127" s="18">
        <f t="shared" si="48"/>
        <v>117</v>
      </c>
      <c r="B127" s="14" t="s">
        <v>113</v>
      </c>
      <c r="C127" s="15" t="s">
        <v>114</v>
      </c>
      <c r="D127" s="15"/>
      <c r="E127" s="15"/>
      <c r="F127" s="16">
        <f>SUM(F128+F137+F171)</f>
        <v>51314.159999999996</v>
      </c>
      <c r="G127" s="16">
        <f t="shared" ref="G127:H127" si="68">SUM(G128+G137+G171)</f>
        <v>42922.759999999995</v>
      </c>
      <c r="H127" s="16">
        <f t="shared" si="68"/>
        <v>43309.479999999996</v>
      </c>
    </row>
    <row r="128" spans="1:8" x14ac:dyDescent="0.25">
      <c r="A128" s="18">
        <f t="shared" si="48"/>
        <v>118</v>
      </c>
      <c r="B128" s="14" t="s">
        <v>115</v>
      </c>
      <c r="C128" s="15" t="s">
        <v>116</v>
      </c>
      <c r="D128" s="15"/>
      <c r="E128" s="15"/>
      <c r="F128" s="16">
        <f>SUM(F129)</f>
        <v>550</v>
      </c>
      <c r="G128" s="16">
        <f t="shared" ref="G128:H128" si="69">SUM(G129)</f>
        <v>100</v>
      </c>
      <c r="H128" s="16">
        <f t="shared" si="69"/>
        <v>100</v>
      </c>
    </row>
    <row r="129" spans="1:8" ht="72" x14ac:dyDescent="0.25">
      <c r="A129" s="19">
        <f t="shared" si="48"/>
        <v>119</v>
      </c>
      <c r="B129" s="10" t="s">
        <v>117</v>
      </c>
      <c r="C129" s="11" t="s">
        <v>116</v>
      </c>
      <c r="D129" s="11" t="s">
        <v>118</v>
      </c>
      <c r="E129" s="11"/>
      <c r="F129" s="12">
        <f>SUM(F130)</f>
        <v>550</v>
      </c>
      <c r="G129" s="12">
        <f t="shared" ref="G129:H129" si="70">SUM(G130)</f>
        <v>100</v>
      </c>
      <c r="H129" s="12">
        <f t="shared" si="70"/>
        <v>100</v>
      </c>
    </row>
    <row r="130" spans="1:8" ht="54" x14ac:dyDescent="0.25">
      <c r="A130" s="19">
        <f t="shared" si="48"/>
        <v>120</v>
      </c>
      <c r="B130" s="10" t="s">
        <v>119</v>
      </c>
      <c r="C130" s="11" t="s">
        <v>116</v>
      </c>
      <c r="D130" s="11" t="s">
        <v>120</v>
      </c>
      <c r="E130" s="11"/>
      <c r="F130" s="12">
        <f>SUM(F131+F135+F133)</f>
        <v>550</v>
      </c>
      <c r="G130" s="12">
        <f t="shared" ref="G130:H130" si="71">SUM(G131+G135+G133)</f>
        <v>100</v>
      </c>
      <c r="H130" s="12">
        <f t="shared" si="71"/>
        <v>100</v>
      </c>
    </row>
    <row r="131" spans="1:8" ht="54" x14ac:dyDescent="0.25">
      <c r="A131" s="19">
        <f t="shared" si="48"/>
        <v>121</v>
      </c>
      <c r="B131" s="10" t="s">
        <v>121</v>
      </c>
      <c r="C131" s="11" t="s">
        <v>116</v>
      </c>
      <c r="D131" s="11" t="s">
        <v>122</v>
      </c>
      <c r="E131" s="11"/>
      <c r="F131" s="12">
        <f>SUM(F132)</f>
        <v>40.200000000000003</v>
      </c>
      <c r="G131" s="12">
        <f t="shared" ref="G131:H131" si="72">SUM(G132)</f>
        <v>100</v>
      </c>
      <c r="H131" s="12">
        <f t="shared" si="72"/>
        <v>100</v>
      </c>
    </row>
    <row r="132" spans="1:8" ht="54" x14ac:dyDescent="0.25">
      <c r="A132" s="19">
        <f t="shared" si="48"/>
        <v>122</v>
      </c>
      <c r="B132" s="10" t="s">
        <v>28</v>
      </c>
      <c r="C132" s="11" t="s">
        <v>116</v>
      </c>
      <c r="D132" s="11" t="s">
        <v>122</v>
      </c>
      <c r="E132" s="11" t="s">
        <v>29</v>
      </c>
      <c r="F132" s="12">
        <f>50-9.8</f>
        <v>40.200000000000003</v>
      </c>
      <c r="G132" s="12">
        <v>100</v>
      </c>
      <c r="H132" s="12">
        <v>100</v>
      </c>
    </row>
    <row r="133" spans="1:8" ht="54" x14ac:dyDescent="0.25">
      <c r="A133" s="19">
        <f t="shared" si="48"/>
        <v>123</v>
      </c>
      <c r="B133" s="10" t="s">
        <v>806</v>
      </c>
      <c r="C133" s="11" t="s">
        <v>116</v>
      </c>
      <c r="D133" s="24" t="s">
        <v>805</v>
      </c>
      <c r="E133" s="11"/>
      <c r="F133" s="12">
        <f>SUM(F134)</f>
        <v>9.8000000000000007</v>
      </c>
      <c r="G133" s="12">
        <f t="shared" ref="G133:H133" si="73">SUM(G134)</f>
        <v>0</v>
      </c>
      <c r="H133" s="12">
        <f t="shared" si="73"/>
        <v>0</v>
      </c>
    </row>
    <row r="134" spans="1:8" ht="54" x14ac:dyDescent="0.25">
      <c r="A134" s="19">
        <f t="shared" si="48"/>
        <v>124</v>
      </c>
      <c r="B134" s="10" t="s">
        <v>28</v>
      </c>
      <c r="C134" s="11" t="s">
        <v>116</v>
      </c>
      <c r="D134" s="24" t="s">
        <v>805</v>
      </c>
      <c r="E134" s="11" t="s">
        <v>29</v>
      </c>
      <c r="F134" s="12">
        <v>9.8000000000000007</v>
      </c>
      <c r="G134" s="12">
        <v>0</v>
      </c>
      <c r="H134" s="12">
        <v>0</v>
      </c>
    </row>
    <row r="135" spans="1:8" ht="54" x14ac:dyDescent="0.25">
      <c r="A135" s="19">
        <f t="shared" si="48"/>
        <v>125</v>
      </c>
      <c r="B135" s="10" t="s">
        <v>123</v>
      </c>
      <c r="C135" s="11" t="s">
        <v>116</v>
      </c>
      <c r="D135" s="11" t="s">
        <v>124</v>
      </c>
      <c r="E135" s="11"/>
      <c r="F135" s="12">
        <f>SUM(F136)</f>
        <v>500</v>
      </c>
      <c r="G135" s="12">
        <f t="shared" ref="G135:H135" si="74">SUM(G136)</f>
        <v>0</v>
      </c>
      <c r="H135" s="12">
        <f t="shared" si="74"/>
        <v>0</v>
      </c>
    </row>
    <row r="136" spans="1:8" ht="54" x14ac:dyDescent="0.25">
      <c r="A136" s="19">
        <f t="shared" si="48"/>
        <v>126</v>
      </c>
      <c r="B136" s="10" t="s">
        <v>28</v>
      </c>
      <c r="C136" s="11" t="s">
        <v>116</v>
      </c>
      <c r="D136" s="11" t="s">
        <v>124</v>
      </c>
      <c r="E136" s="11" t="s">
        <v>29</v>
      </c>
      <c r="F136" s="12">
        <v>500</v>
      </c>
      <c r="G136" s="12">
        <v>0</v>
      </c>
      <c r="H136" s="12">
        <v>0</v>
      </c>
    </row>
    <row r="137" spans="1:8" ht="72" x14ac:dyDescent="0.25">
      <c r="A137" s="18">
        <f t="shared" si="48"/>
        <v>127</v>
      </c>
      <c r="B137" s="14" t="s">
        <v>125</v>
      </c>
      <c r="C137" s="15" t="s">
        <v>126</v>
      </c>
      <c r="D137" s="15"/>
      <c r="E137" s="15"/>
      <c r="F137" s="16">
        <f>SUM(F138+F168)</f>
        <v>41852.259999999995</v>
      </c>
      <c r="G137" s="16">
        <f t="shared" ref="G137:H137" si="75">SUM(G138+G168)</f>
        <v>41006.259999999995</v>
      </c>
      <c r="H137" s="16">
        <f t="shared" si="75"/>
        <v>41392.979999999996</v>
      </c>
    </row>
    <row r="138" spans="1:8" ht="72" x14ac:dyDescent="0.25">
      <c r="A138" s="19">
        <f t="shared" si="48"/>
        <v>128</v>
      </c>
      <c r="B138" s="10" t="s">
        <v>117</v>
      </c>
      <c r="C138" s="11" t="s">
        <v>126</v>
      </c>
      <c r="D138" s="11" t="s">
        <v>118</v>
      </c>
      <c r="E138" s="11"/>
      <c r="F138" s="12">
        <f>SUM(F139+F150+F165)</f>
        <v>40652.259999999995</v>
      </c>
      <c r="G138" s="12">
        <f t="shared" ref="G138:H138" si="76">SUM(G139+G150+G165)</f>
        <v>41006.259999999995</v>
      </c>
      <c r="H138" s="12">
        <f t="shared" si="76"/>
        <v>41392.979999999996</v>
      </c>
    </row>
    <row r="139" spans="1:8" ht="54" x14ac:dyDescent="0.25">
      <c r="A139" s="19">
        <f t="shared" si="48"/>
        <v>129</v>
      </c>
      <c r="B139" s="10" t="s">
        <v>119</v>
      </c>
      <c r="C139" s="11" t="s">
        <v>126</v>
      </c>
      <c r="D139" s="11" t="s">
        <v>120</v>
      </c>
      <c r="E139" s="11"/>
      <c r="F139" s="12">
        <f>SUM(F140+F144+F146+F148)</f>
        <v>9530.66</v>
      </c>
      <c r="G139" s="12">
        <f t="shared" ref="G139:H139" si="77">SUM(G140+G144+G146+G148)</f>
        <v>9794.66</v>
      </c>
      <c r="H139" s="12">
        <f t="shared" si="77"/>
        <v>10181.379999999999</v>
      </c>
    </row>
    <row r="140" spans="1:8" ht="54" x14ac:dyDescent="0.25">
      <c r="A140" s="19">
        <f t="shared" si="48"/>
        <v>130</v>
      </c>
      <c r="B140" s="10" t="s">
        <v>127</v>
      </c>
      <c r="C140" s="11" t="s">
        <v>126</v>
      </c>
      <c r="D140" s="11" t="s">
        <v>128</v>
      </c>
      <c r="E140" s="11"/>
      <c r="F140" s="12">
        <f>SUM(F141:F143)</f>
        <v>8580.66</v>
      </c>
      <c r="G140" s="12">
        <f t="shared" ref="G140:H140" si="78">SUM(G141:G143)</f>
        <v>8984.66</v>
      </c>
      <c r="H140" s="12">
        <f t="shared" si="78"/>
        <v>9371.3799999999992</v>
      </c>
    </row>
    <row r="141" spans="1:8" ht="36" x14ac:dyDescent="0.25">
      <c r="A141" s="19">
        <f t="shared" si="48"/>
        <v>131</v>
      </c>
      <c r="B141" s="10" t="s">
        <v>129</v>
      </c>
      <c r="C141" s="11" t="s">
        <v>126</v>
      </c>
      <c r="D141" s="11" t="s">
        <v>128</v>
      </c>
      <c r="E141" s="11" t="s">
        <v>130</v>
      </c>
      <c r="F141" s="12">
        <f>8063.58-17.8</f>
        <v>8045.78</v>
      </c>
      <c r="G141" s="12">
        <v>8429.66</v>
      </c>
      <c r="H141" s="12">
        <v>8766.3799999999992</v>
      </c>
    </row>
    <row r="142" spans="1:8" ht="54" x14ac:dyDescent="0.25">
      <c r="A142" s="19">
        <f t="shared" si="48"/>
        <v>132</v>
      </c>
      <c r="B142" s="10" t="s">
        <v>28</v>
      </c>
      <c r="C142" s="11" t="s">
        <v>126</v>
      </c>
      <c r="D142" s="11" t="s">
        <v>128</v>
      </c>
      <c r="E142" s="11" t="s">
        <v>29</v>
      </c>
      <c r="F142" s="12">
        <f>602-70.12</f>
        <v>531.88</v>
      </c>
      <c r="G142" s="12">
        <v>552</v>
      </c>
      <c r="H142" s="12">
        <v>602</v>
      </c>
    </row>
    <row r="143" spans="1:8" ht="36" x14ac:dyDescent="0.25">
      <c r="A143" s="19">
        <f t="shared" si="48"/>
        <v>133</v>
      </c>
      <c r="B143" s="10" t="s">
        <v>40</v>
      </c>
      <c r="C143" s="11" t="s">
        <v>126</v>
      </c>
      <c r="D143" s="11" t="s">
        <v>128</v>
      </c>
      <c r="E143" s="11" t="s">
        <v>41</v>
      </c>
      <c r="F143" s="12">
        <v>3</v>
      </c>
      <c r="G143" s="12">
        <v>3</v>
      </c>
      <c r="H143" s="12">
        <v>3</v>
      </c>
    </row>
    <row r="144" spans="1:8" ht="54" x14ac:dyDescent="0.25">
      <c r="A144" s="19">
        <f t="shared" si="48"/>
        <v>134</v>
      </c>
      <c r="B144" s="10" t="s">
        <v>131</v>
      </c>
      <c r="C144" s="11" t="s">
        <v>126</v>
      </c>
      <c r="D144" s="11" t="s">
        <v>132</v>
      </c>
      <c r="E144" s="11"/>
      <c r="F144" s="12">
        <f>SUM(F145)</f>
        <v>650</v>
      </c>
      <c r="G144" s="12">
        <f t="shared" ref="G144:H144" si="79">SUM(G145)</f>
        <v>650</v>
      </c>
      <c r="H144" s="12">
        <f t="shared" si="79"/>
        <v>650</v>
      </c>
    </row>
    <row r="145" spans="1:8" ht="54" x14ac:dyDescent="0.25">
      <c r="A145" s="19">
        <f t="shared" si="48"/>
        <v>135</v>
      </c>
      <c r="B145" s="10" t="s">
        <v>28</v>
      </c>
      <c r="C145" s="11" t="s">
        <v>126</v>
      </c>
      <c r="D145" s="11" t="s">
        <v>132</v>
      </c>
      <c r="E145" s="11" t="s">
        <v>29</v>
      </c>
      <c r="F145" s="12">
        <v>650</v>
      </c>
      <c r="G145" s="12">
        <v>650</v>
      </c>
      <c r="H145" s="12">
        <v>650</v>
      </c>
    </row>
    <row r="146" spans="1:8" ht="36" x14ac:dyDescent="0.25">
      <c r="A146" s="19">
        <f t="shared" si="48"/>
        <v>136</v>
      </c>
      <c r="B146" s="10" t="s">
        <v>133</v>
      </c>
      <c r="C146" s="11" t="s">
        <v>126</v>
      </c>
      <c r="D146" s="11" t="s">
        <v>134</v>
      </c>
      <c r="E146" s="11"/>
      <c r="F146" s="12">
        <f>SUM(F147)</f>
        <v>40</v>
      </c>
      <c r="G146" s="12">
        <f t="shared" ref="G146:H146" si="80">SUM(G147)</f>
        <v>100</v>
      </c>
      <c r="H146" s="12">
        <f t="shared" si="80"/>
        <v>100</v>
      </c>
    </row>
    <row r="147" spans="1:8" ht="54" x14ac:dyDescent="0.25">
      <c r="A147" s="19">
        <f t="shared" si="48"/>
        <v>137</v>
      </c>
      <c r="B147" s="10" t="s">
        <v>28</v>
      </c>
      <c r="C147" s="11" t="s">
        <v>126</v>
      </c>
      <c r="D147" s="11" t="s">
        <v>134</v>
      </c>
      <c r="E147" s="11" t="s">
        <v>29</v>
      </c>
      <c r="F147" s="12">
        <f>100-30-30</f>
        <v>40</v>
      </c>
      <c r="G147" s="12">
        <v>100</v>
      </c>
      <c r="H147" s="12">
        <v>100</v>
      </c>
    </row>
    <row r="148" spans="1:8" ht="36" x14ac:dyDescent="0.25">
      <c r="A148" s="19">
        <f t="shared" si="48"/>
        <v>138</v>
      </c>
      <c r="B148" s="10" t="s">
        <v>135</v>
      </c>
      <c r="C148" s="11" t="s">
        <v>126</v>
      </c>
      <c r="D148" s="11" t="s">
        <v>136</v>
      </c>
      <c r="E148" s="11"/>
      <c r="F148" s="12">
        <f>SUM(F149)</f>
        <v>260</v>
      </c>
      <c r="G148" s="12">
        <f t="shared" ref="G148:H148" si="81">SUM(G149)</f>
        <v>60</v>
      </c>
      <c r="H148" s="12">
        <f t="shared" si="81"/>
        <v>60</v>
      </c>
    </row>
    <row r="149" spans="1:8" x14ac:dyDescent="0.25">
      <c r="A149" s="19">
        <f t="shared" si="48"/>
        <v>139</v>
      </c>
      <c r="B149" s="10" t="s">
        <v>137</v>
      </c>
      <c r="C149" s="11" t="s">
        <v>126</v>
      </c>
      <c r="D149" s="11" t="s">
        <v>136</v>
      </c>
      <c r="E149" s="11" t="s">
        <v>138</v>
      </c>
      <c r="F149" s="12">
        <f>60+100+100</f>
        <v>260</v>
      </c>
      <c r="G149" s="12">
        <v>60</v>
      </c>
      <c r="H149" s="12">
        <v>60</v>
      </c>
    </row>
    <row r="150" spans="1:8" ht="36" x14ac:dyDescent="0.25">
      <c r="A150" s="19">
        <f t="shared" si="48"/>
        <v>140</v>
      </c>
      <c r="B150" s="10" t="s">
        <v>139</v>
      </c>
      <c r="C150" s="11" t="s">
        <v>126</v>
      </c>
      <c r="D150" s="11" t="s">
        <v>140</v>
      </c>
      <c r="E150" s="11"/>
      <c r="F150" s="12">
        <f>SUM(F151+F154+F157+F159+F161+F163)</f>
        <v>31091.599999999999</v>
      </c>
      <c r="G150" s="12">
        <f t="shared" ref="G150:H150" si="82">SUM(G151+G154+G157+G159+G161+G163)</f>
        <v>31111.599999999999</v>
      </c>
      <c r="H150" s="12">
        <f t="shared" si="82"/>
        <v>31111.599999999999</v>
      </c>
    </row>
    <row r="151" spans="1:8" ht="54" x14ac:dyDescent="0.25">
      <c r="A151" s="19">
        <f t="shared" si="48"/>
        <v>141</v>
      </c>
      <c r="B151" s="10" t="s">
        <v>141</v>
      </c>
      <c r="C151" s="11" t="s">
        <v>126</v>
      </c>
      <c r="D151" s="11" t="s">
        <v>142</v>
      </c>
      <c r="E151" s="11"/>
      <c r="F151" s="12">
        <f>SUM(F152:F153)</f>
        <v>75</v>
      </c>
      <c r="G151" s="12">
        <f t="shared" ref="G151:H151" si="83">SUM(G152:G153)</f>
        <v>95</v>
      </c>
      <c r="H151" s="12">
        <f t="shared" si="83"/>
        <v>95</v>
      </c>
    </row>
    <row r="152" spans="1:8" ht="54" x14ac:dyDescent="0.25">
      <c r="A152" s="19">
        <f t="shared" si="48"/>
        <v>142</v>
      </c>
      <c r="B152" s="10" t="s">
        <v>28</v>
      </c>
      <c r="C152" s="11" t="s">
        <v>126</v>
      </c>
      <c r="D152" s="11" t="s">
        <v>142</v>
      </c>
      <c r="E152" s="11" t="s">
        <v>29</v>
      </c>
      <c r="F152" s="12">
        <f>55-20</f>
        <v>35</v>
      </c>
      <c r="G152" s="12">
        <v>55</v>
      </c>
      <c r="H152" s="12">
        <v>55</v>
      </c>
    </row>
    <row r="153" spans="1:8" x14ac:dyDescent="0.25">
      <c r="A153" s="19">
        <f t="shared" si="48"/>
        <v>143</v>
      </c>
      <c r="B153" s="10" t="s">
        <v>143</v>
      </c>
      <c r="C153" s="11" t="s">
        <v>126</v>
      </c>
      <c r="D153" s="11" t="s">
        <v>142</v>
      </c>
      <c r="E153" s="11" t="s">
        <v>144</v>
      </c>
      <c r="F153" s="12">
        <v>40</v>
      </c>
      <c r="G153" s="12">
        <v>40</v>
      </c>
      <c r="H153" s="12">
        <v>40</v>
      </c>
    </row>
    <row r="154" spans="1:8" ht="54" x14ac:dyDescent="0.25">
      <c r="A154" s="19">
        <f t="shared" si="48"/>
        <v>144</v>
      </c>
      <c r="B154" s="10" t="s">
        <v>145</v>
      </c>
      <c r="C154" s="11" t="s">
        <v>126</v>
      </c>
      <c r="D154" s="11" t="s">
        <v>146</v>
      </c>
      <c r="E154" s="11"/>
      <c r="F154" s="12">
        <f>SUM(F155:F156)</f>
        <v>27504</v>
      </c>
      <c r="G154" s="12">
        <f t="shared" ref="G154:H154" si="84">SUM(G155:G156)</f>
        <v>27504</v>
      </c>
      <c r="H154" s="12">
        <f t="shared" si="84"/>
        <v>27504</v>
      </c>
    </row>
    <row r="155" spans="1:8" ht="54" x14ac:dyDescent="0.25">
      <c r="A155" s="19">
        <f t="shared" si="48"/>
        <v>145</v>
      </c>
      <c r="B155" s="10" t="s">
        <v>28</v>
      </c>
      <c r="C155" s="11" t="s">
        <v>126</v>
      </c>
      <c r="D155" s="11" t="s">
        <v>146</v>
      </c>
      <c r="E155" s="11" t="s">
        <v>29</v>
      </c>
      <c r="F155" s="12">
        <f>27504-26420+10696.02</f>
        <v>11780.02</v>
      </c>
      <c r="G155" s="12">
        <v>27504</v>
      </c>
      <c r="H155" s="12">
        <v>27504</v>
      </c>
    </row>
    <row r="156" spans="1:8" x14ac:dyDescent="0.25">
      <c r="A156" s="19">
        <f t="shared" si="48"/>
        <v>146</v>
      </c>
      <c r="B156" s="10" t="s">
        <v>319</v>
      </c>
      <c r="C156" s="11" t="s">
        <v>126</v>
      </c>
      <c r="D156" s="11" t="s">
        <v>146</v>
      </c>
      <c r="E156" s="11">
        <v>410</v>
      </c>
      <c r="F156" s="12">
        <f>26420-10696.02</f>
        <v>15723.98</v>
      </c>
      <c r="G156" s="12">
        <v>0</v>
      </c>
      <c r="H156" s="12">
        <v>0</v>
      </c>
    </row>
    <row r="157" spans="1:8" ht="54" x14ac:dyDescent="0.25">
      <c r="A157" s="19">
        <f t="shared" si="48"/>
        <v>147</v>
      </c>
      <c r="B157" s="10" t="s">
        <v>147</v>
      </c>
      <c r="C157" s="11" t="s">
        <v>126</v>
      </c>
      <c r="D157" s="11" t="s">
        <v>148</v>
      </c>
      <c r="E157" s="11"/>
      <c r="F157" s="12">
        <f>SUM(F158)</f>
        <v>602.6</v>
      </c>
      <c r="G157" s="12">
        <f t="shared" ref="G157:H157" si="85">SUM(G158)</f>
        <v>602.6</v>
      </c>
      <c r="H157" s="12">
        <f t="shared" si="85"/>
        <v>602.6</v>
      </c>
    </row>
    <row r="158" spans="1:8" ht="90" x14ac:dyDescent="0.25">
      <c r="A158" s="19">
        <f t="shared" si="48"/>
        <v>148</v>
      </c>
      <c r="B158" s="10" t="s">
        <v>149</v>
      </c>
      <c r="C158" s="11" t="s">
        <v>126</v>
      </c>
      <c r="D158" s="11" t="s">
        <v>148</v>
      </c>
      <c r="E158" s="11" t="s">
        <v>150</v>
      </c>
      <c r="F158" s="12">
        <v>602.6</v>
      </c>
      <c r="G158" s="12">
        <v>602.6</v>
      </c>
      <c r="H158" s="12">
        <v>602.6</v>
      </c>
    </row>
    <row r="159" spans="1:8" ht="36" x14ac:dyDescent="0.25">
      <c r="A159" s="19">
        <f t="shared" si="48"/>
        <v>149</v>
      </c>
      <c r="B159" s="10" t="s">
        <v>151</v>
      </c>
      <c r="C159" s="11" t="s">
        <v>126</v>
      </c>
      <c r="D159" s="11" t="s">
        <v>152</v>
      </c>
      <c r="E159" s="11"/>
      <c r="F159" s="12">
        <f>SUM(F160)</f>
        <v>120</v>
      </c>
      <c r="G159" s="12">
        <f t="shared" ref="G159:H159" si="86">SUM(G160)</f>
        <v>120</v>
      </c>
      <c r="H159" s="12">
        <f t="shared" si="86"/>
        <v>120</v>
      </c>
    </row>
    <row r="160" spans="1:8" ht="54" x14ac:dyDescent="0.25">
      <c r="A160" s="19">
        <f t="shared" si="48"/>
        <v>150</v>
      </c>
      <c r="B160" s="10" t="s">
        <v>28</v>
      </c>
      <c r="C160" s="11" t="s">
        <v>126</v>
      </c>
      <c r="D160" s="11" t="s">
        <v>152</v>
      </c>
      <c r="E160" s="11" t="s">
        <v>29</v>
      </c>
      <c r="F160" s="12">
        <v>120</v>
      </c>
      <c r="G160" s="12">
        <v>120</v>
      </c>
      <c r="H160" s="12">
        <v>120</v>
      </c>
    </row>
    <row r="161" spans="1:8" ht="36" x14ac:dyDescent="0.25">
      <c r="A161" s="19">
        <f t="shared" si="48"/>
        <v>151</v>
      </c>
      <c r="B161" s="10" t="s">
        <v>153</v>
      </c>
      <c r="C161" s="11" t="s">
        <v>126</v>
      </c>
      <c r="D161" s="11" t="s">
        <v>154</v>
      </c>
      <c r="E161" s="11"/>
      <c r="F161" s="12">
        <f>SUM(F162)</f>
        <v>2700</v>
      </c>
      <c r="G161" s="12">
        <f t="shared" ref="G161:H161" si="87">SUM(G162)</f>
        <v>2700</v>
      </c>
      <c r="H161" s="12">
        <f t="shared" si="87"/>
        <v>2700</v>
      </c>
    </row>
    <row r="162" spans="1:8" ht="54" x14ac:dyDescent="0.25">
      <c r="A162" s="19">
        <f t="shared" si="48"/>
        <v>152</v>
      </c>
      <c r="B162" s="10" t="s">
        <v>28</v>
      </c>
      <c r="C162" s="11" t="s">
        <v>126</v>
      </c>
      <c r="D162" s="11" t="s">
        <v>154</v>
      </c>
      <c r="E162" s="11" t="s">
        <v>29</v>
      </c>
      <c r="F162" s="12">
        <v>2700</v>
      </c>
      <c r="G162" s="12">
        <v>2700</v>
      </c>
      <c r="H162" s="12">
        <v>2700</v>
      </c>
    </row>
    <row r="163" spans="1:8" ht="90" x14ac:dyDescent="0.25">
      <c r="A163" s="19">
        <f t="shared" si="48"/>
        <v>153</v>
      </c>
      <c r="B163" s="10" t="s">
        <v>155</v>
      </c>
      <c r="C163" s="11" t="s">
        <v>126</v>
      </c>
      <c r="D163" s="11" t="s">
        <v>156</v>
      </c>
      <c r="E163" s="11"/>
      <c r="F163" s="12">
        <f>SUM(F164)</f>
        <v>90</v>
      </c>
      <c r="G163" s="12">
        <f t="shared" ref="G163:H163" si="88">SUM(G164)</f>
        <v>90</v>
      </c>
      <c r="H163" s="12">
        <f t="shared" si="88"/>
        <v>90</v>
      </c>
    </row>
    <row r="164" spans="1:8" ht="54" x14ac:dyDescent="0.25">
      <c r="A164" s="19">
        <f t="shared" ref="A164:A242" si="89">SUM(A163+1)</f>
        <v>154</v>
      </c>
      <c r="B164" s="10" t="s">
        <v>28</v>
      </c>
      <c r="C164" s="11" t="s">
        <v>126</v>
      </c>
      <c r="D164" s="11" t="s">
        <v>156</v>
      </c>
      <c r="E164" s="11" t="s">
        <v>29</v>
      </c>
      <c r="F164" s="12">
        <v>90</v>
      </c>
      <c r="G164" s="12">
        <v>90</v>
      </c>
      <c r="H164" s="12">
        <v>90</v>
      </c>
    </row>
    <row r="165" spans="1:8" ht="54" x14ac:dyDescent="0.25">
      <c r="A165" s="19">
        <f t="shared" si="89"/>
        <v>155</v>
      </c>
      <c r="B165" s="10" t="s">
        <v>157</v>
      </c>
      <c r="C165" s="11" t="s">
        <v>126</v>
      </c>
      <c r="D165" s="11" t="s">
        <v>158</v>
      </c>
      <c r="E165" s="11"/>
      <c r="F165" s="12">
        <f>SUM(F166)</f>
        <v>30</v>
      </c>
      <c r="G165" s="12">
        <f t="shared" ref="G165:H165" si="90">SUM(G166)</f>
        <v>100</v>
      </c>
      <c r="H165" s="12">
        <f t="shared" si="90"/>
        <v>100</v>
      </c>
    </row>
    <row r="166" spans="1:8" ht="36" x14ac:dyDescent="0.25">
      <c r="A166" s="19">
        <f t="shared" si="89"/>
        <v>156</v>
      </c>
      <c r="B166" s="10" t="s">
        <v>159</v>
      </c>
      <c r="C166" s="11" t="s">
        <v>126</v>
      </c>
      <c r="D166" s="11" t="s">
        <v>160</v>
      </c>
      <c r="E166" s="11"/>
      <c r="F166" s="12">
        <f>SUM(F167)</f>
        <v>30</v>
      </c>
      <c r="G166" s="12">
        <f t="shared" ref="G166:H166" si="91">SUM(G167)</f>
        <v>100</v>
      </c>
      <c r="H166" s="12">
        <f t="shared" si="91"/>
        <v>100</v>
      </c>
    </row>
    <row r="167" spans="1:8" ht="54" x14ac:dyDescent="0.25">
      <c r="A167" s="19">
        <f t="shared" si="89"/>
        <v>157</v>
      </c>
      <c r="B167" s="10" t="s">
        <v>28</v>
      </c>
      <c r="C167" s="11" t="s">
        <v>126</v>
      </c>
      <c r="D167" s="11" t="s">
        <v>160</v>
      </c>
      <c r="E167" s="11" t="s">
        <v>29</v>
      </c>
      <c r="F167" s="12">
        <f>100-70</f>
        <v>30</v>
      </c>
      <c r="G167" s="12">
        <v>100</v>
      </c>
      <c r="H167" s="12">
        <v>100</v>
      </c>
    </row>
    <row r="168" spans="1:8" x14ac:dyDescent="0.25">
      <c r="A168" s="19">
        <f t="shared" si="89"/>
        <v>158</v>
      </c>
      <c r="B168" s="10" t="s">
        <v>22</v>
      </c>
      <c r="C168" s="11" t="s">
        <v>126</v>
      </c>
      <c r="D168" s="24" t="s">
        <v>23</v>
      </c>
      <c r="E168" s="24"/>
      <c r="F168" s="12">
        <f>SUM(F169)</f>
        <v>1200</v>
      </c>
      <c r="G168" s="12">
        <f t="shared" ref="G168:H169" si="92">SUM(G169)</f>
        <v>0</v>
      </c>
      <c r="H168" s="12">
        <f t="shared" si="92"/>
        <v>0</v>
      </c>
    </row>
    <row r="169" spans="1:8" ht="36" x14ac:dyDescent="0.25">
      <c r="A169" s="19">
        <f t="shared" si="89"/>
        <v>159</v>
      </c>
      <c r="B169" s="10" t="s">
        <v>795</v>
      </c>
      <c r="C169" s="11" t="s">
        <v>126</v>
      </c>
      <c r="D169" s="24" t="s">
        <v>794</v>
      </c>
      <c r="E169" s="24"/>
      <c r="F169" s="12">
        <f>SUM(F170)</f>
        <v>1200</v>
      </c>
      <c r="G169" s="12">
        <f t="shared" si="92"/>
        <v>0</v>
      </c>
      <c r="H169" s="12">
        <f t="shared" si="92"/>
        <v>0</v>
      </c>
    </row>
    <row r="170" spans="1:8" ht="54.75" customHeight="1" x14ac:dyDescent="0.25">
      <c r="A170" s="19">
        <f t="shared" si="89"/>
        <v>160</v>
      </c>
      <c r="B170" s="10" t="s">
        <v>647</v>
      </c>
      <c r="C170" s="11" t="s">
        <v>126</v>
      </c>
      <c r="D170" s="24" t="s">
        <v>794</v>
      </c>
      <c r="E170" s="24" t="s">
        <v>648</v>
      </c>
      <c r="F170" s="12">
        <v>1200</v>
      </c>
      <c r="G170" s="12">
        <v>0</v>
      </c>
      <c r="H170" s="12">
        <v>0</v>
      </c>
    </row>
    <row r="171" spans="1:8" ht="54" x14ac:dyDescent="0.25">
      <c r="A171" s="18">
        <f t="shared" si="89"/>
        <v>161</v>
      </c>
      <c r="B171" s="14" t="s">
        <v>161</v>
      </c>
      <c r="C171" s="15" t="s">
        <v>162</v>
      </c>
      <c r="D171" s="15"/>
      <c r="E171" s="15"/>
      <c r="F171" s="16">
        <f>SUM(F172+F185+F190)</f>
        <v>8911.9</v>
      </c>
      <c r="G171" s="16">
        <f t="shared" ref="G171:H171" si="93">SUM(G172+G185+G190)</f>
        <v>1816.5</v>
      </c>
      <c r="H171" s="16">
        <f t="shared" si="93"/>
        <v>1816.5</v>
      </c>
    </row>
    <row r="172" spans="1:8" ht="54" x14ac:dyDescent="0.25">
      <c r="A172" s="19">
        <f t="shared" si="89"/>
        <v>162</v>
      </c>
      <c r="B172" s="10" t="s">
        <v>103</v>
      </c>
      <c r="C172" s="11" t="s">
        <v>162</v>
      </c>
      <c r="D172" s="11" t="s">
        <v>104</v>
      </c>
      <c r="E172" s="11"/>
      <c r="F172" s="12">
        <f>SUM(F173+F176)</f>
        <v>8189.42</v>
      </c>
      <c r="G172" s="12">
        <f t="shared" ref="G172:H172" si="94">SUM(G173+G176)</f>
        <v>1691.5</v>
      </c>
      <c r="H172" s="12">
        <f t="shared" si="94"/>
        <v>1691.5</v>
      </c>
    </row>
    <row r="173" spans="1:8" ht="39.75" customHeight="1" x14ac:dyDescent="0.25">
      <c r="A173" s="19">
        <f t="shared" si="89"/>
        <v>163</v>
      </c>
      <c r="B173" s="10" t="s">
        <v>105</v>
      </c>
      <c r="C173" s="11" t="s">
        <v>162</v>
      </c>
      <c r="D173" s="11" t="s">
        <v>106</v>
      </c>
      <c r="E173" s="11"/>
      <c r="F173" s="12">
        <f>SUM(F174)</f>
        <v>12.5</v>
      </c>
      <c r="G173" s="12">
        <f t="shared" ref="G173:H173" si="95">SUM(G174)</f>
        <v>12.5</v>
      </c>
      <c r="H173" s="12">
        <f t="shared" si="95"/>
        <v>12.5</v>
      </c>
    </row>
    <row r="174" spans="1:8" ht="54" x14ac:dyDescent="0.25">
      <c r="A174" s="19">
        <f t="shared" si="89"/>
        <v>164</v>
      </c>
      <c r="B174" s="10" t="s">
        <v>163</v>
      </c>
      <c r="C174" s="11" t="s">
        <v>162</v>
      </c>
      <c r="D174" s="11" t="s">
        <v>164</v>
      </c>
      <c r="E174" s="11"/>
      <c r="F174" s="12">
        <f>SUM(F175)</f>
        <v>12.5</v>
      </c>
      <c r="G174" s="12">
        <f t="shared" ref="G174:H174" si="96">SUM(G175)</f>
        <v>12.5</v>
      </c>
      <c r="H174" s="12">
        <f t="shared" si="96"/>
        <v>12.5</v>
      </c>
    </row>
    <row r="175" spans="1:8" ht="54" x14ac:dyDescent="0.25">
      <c r="A175" s="19">
        <f t="shared" si="89"/>
        <v>165</v>
      </c>
      <c r="B175" s="10" t="s">
        <v>28</v>
      </c>
      <c r="C175" s="11" t="s">
        <v>162</v>
      </c>
      <c r="D175" s="11" t="s">
        <v>164</v>
      </c>
      <c r="E175" s="11" t="s">
        <v>29</v>
      </c>
      <c r="F175" s="12">
        <v>12.5</v>
      </c>
      <c r="G175" s="12">
        <v>12.5</v>
      </c>
      <c r="H175" s="12">
        <v>12.5</v>
      </c>
    </row>
    <row r="176" spans="1:8" ht="54" x14ac:dyDescent="0.25">
      <c r="A176" s="19">
        <f t="shared" si="89"/>
        <v>166</v>
      </c>
      <c r="B176" s="10" t="s">
        <v>165</v>
      </c>
      <c r="C176" s="11" t="s">
        <v>162</v>
      </c>
      <c r="D176" s="11" t="s">
        <v>166</v>
      </c>
      <c r="E176" s="11"/>
      <c r="F176" s="12">
        <f>SUM(F177+F179+F181+F183)</f>
        <v>8176.92</v>
      </c>
      <c r="G176" s="12">
        <f t="shared" ref="G176:H176" si="97">SUM(G177+G179+G181+G183)</f>
        <v>1679</v>
      </c>
      <c r="H176" s="12">
        <f t="shared" si="97"/>
        <v>1679</v>
      </c>
    </row>
    <row r="177" spans="1:8" ht="54" x14ac:dyDescent="0.25">
      <c r="A177" s="19">
        <f t="shared" si="89"/>
        <v>167</v>
      </c>
      <c r="B177" s="10" t="s">
        <v>167</v>
      </c>
      <c r="C177" s="11" t="s">
        <v>162</v>
      </c>
      <c r="D177" s="11" t="s">
        <v>168</v>
      </c>
      <c r="E177" s="11"/>
      <c r="F177" s="12">
        <f>SUM(F178)</f>
        <v>5</v>
      </c>
      <c r="G177" s="12">
        <f t="shared" ref="G177:H177" si="98">SUM(G178)</f>
        <v>5</v>
      </c>
      <c r="H177" s="12">
        <f t="shared" si="98"/>
        <v>5</v>
      </c>
    </row>
    <row r="178" spans="1:8" x14ac:dyDescent="0.25">
      <c r="A178" s="19">
        <f t="shared" si="89"/>
        <v>168</v>
      </c>
      <c r="B178" s="10" t="s">
        <v>169</v>
      </c>
      <c r="C178" s="11" t="s">
        <v>162</v>
      </c>
      <c r="D178" s="11" t="s">
        <v>168</v>
      </c>
      <c r="E178" s="11" t="s">
        <v>170</v>
      </c>
      <c r="F178" s="12">
        <v>5</v>
      </c>
      <c r="G178" s="12">
        <v>5</v>
      </c>
      <c r="H178" s="12">
        <v>5</v>
      </c>
    </row>
    <row r="179" spans="1:8" ht="162" x14ac:dyDescent="0.25">
      <c r="A179" s="19">
        <f t="shared" si="89"/>
        <v>169</v>
      </c>
      <c r="B179" s="10" t="s">
        <v>843</v>
      </c>
      <c r="C179" s="11" t="s">
        <v>162</v>
      </c>
      <c r="D179" s="11" t="s">
        <v>171</v>
      </c>
      <c r="E179" s="11"/>
      <c r="F179" s="12">
        <f>SUM(F180)</f>
        <v>539.91999999999996</v>
      </c>
      <c r="G179" s="12">
        <f t="shared" ref="G179:H179" si="99">SUM(G180)</f>
        <v>452</v>
      </c>
      <c r="H179" s="12">
        <f t="shared" si="99"/>
        <v>452</v>
      </c>
    </row>
    <row r="180" spans="1:8" ht="54" x14ac:dyDescent="0.25">
      <c r="A180" s="19">
        <f t="shared" si="89"/>
        <v>170</v>
      </c>
      <c r="B180" s="10" t="s">
        <v>28</v>
      </c>
      <c r="C180" s="11" t="s">
        <v>162</v>
      </c>
      <c r="D180" s="11" t="s">
        <v>171</v>
      </c>
      <c r="E180" s="11" t="s">
        <v>29</v>
      </c>
      <c r="F180" s="12">
        <f>452+87.92</f>
        <v>539.91999999999996</v>
      </c>
      <c r="G180" s="12">
        <v>452</v>
      </c>
      <c r="H180" s="12">
        <v>452</v>
      </c>
    </row>
    <row r="181" spans="1:8" ht="90" x14ac:dyDescent="0.25">
      <c r="A181" s="19">
        <f t="shared" si="89"/>
        <v>171</v>
      </c>
      <c r="B181" s="10" t="s">
        <v>172</v>
      </c>
      <c r="C181" s="11" t="s">
        <v>162</v>
      </c>
      <c r="D181" s="11" t="s">
        <v>173</v>
      </c>
      <c r="E181" s="11"/>
      <c r="F181" s="12">
        <f>SUM(F182)</f>
        <v>872</v>
      </c>
      <c r="G181" s="12">
        <f t="shared" ref="G181:H181" si="100">SUM(G182)</f>
        <v>872</v>
      </c>
      <c r="H181" s="12">
        <f t="shared" si="100"/>
        <v>872</v>
      </c>
    </row>
    <row r="182" spans="1:8" ht="90" x14ac:dyDescent="0.25">
      <c r="A182" s="19">
        <f t="shared" si="89"/>
        <v>172</v>
      </c>
      <c r="B182" s="10" t="s">
        <v>149</v>
      </c>
      <c r="C182" s="11" t="s">
        <v>162</v>
      </c>
      <c r="D182" s="11" t="s">
        <v>173</v>
      </c>
      <c r="E182" s="11" t="s">
        <v>150</v>
      </c>
      <c r="F182" s="12">
        <v>872</v>
      </c>
      <c r="G182" s="12">
        <v>872</v>
      </c>
      <c r="H182" s="12">
        <v>872</v>
      </c>
    </row>
    <row r="183" spans="1:8" ht="72" x14ac:dyDescent="0.25">
      <c r="A183" s="19">
        <f t="shared" si="89"/>
        <v>173</v>
      </c>
      <c r="B183" s="10" t="s">
        <v>174</v>
      </c>
      <c r="C183" s="11" t="s">
        <v>162</v>
      </c>
      <c r="D183" s="11" t="s">
        <v>175</v>
      </c>
      <c r="E183" s="11"/>
      <c r="F183" s="12">
        <f>SUM(F184)</f>
        <v>6760</v>
      </c>
      <c r="G183" s="12">
        <f t="shared" ref="G183:H183" si="101">SUM(G184)</f>
        <v>350</v>
      </c>
      <c r="H183" s="12">
        <f t="shared" si="101"/>
        <v>350</v>
      </c>
    </row>
    <row r="184" spans="1:8" ht="54" x14ac:dyDescent="0.25">
      <c r="A184" s="19">
        <f t="shared" si="89"/>
        <v>174</v>
      </c>
      <c r="B184" s="10" t="s">
        <v>28</v>
      </c>
      <c r="C184" s="11" t="s">
        <v>162</v>
      </c>
      <c r="D184" s="11" t="s">
        <v>175</v>
      </c>
      <c r="E184" s="11" t="s">
        <v>29</v>
      </c>
      <c r="F184" s="12">
        <f>6500+260</f>
        <v>6760</v>
      </c>
      <c r="G184" s="12">
        <v>350</v>
      </c>
      <c r="H184" s="12">
        <v>350</v>
      </c>
    </row>
    <row r="185" spans="1:8" ht="90" x14ac:dyDescent="0.25">
      <c r="A185" s="19">
        <f t="shared" si="89"/>
        <v>175</v>
      </c>
      <c r="B185" s="10" t="s">
        <v>176</v>
      </c>
      <c r="C185" s="11" t="s">
        <v>162</v>
      </c>
      <c r="D185" s="11" t="s">
        <v>177</v>
      </c>
      <c r="E185" s="11"/>
      <c r="F185" s="12">
        <f>SUM(F186+F188)</f>
        <v>105</v>
      </c>
      <c r="G185" s="12">
        <f t="shared" ref="G185:H185" si="102">SUM(G186+G188)</f>
        <v>105</v>
      </c>
      <c r="H185" s="12">
        <f t="shared" si="102"/>
        <v>105</v>
      </c>
    </row>
    <row r="186" spans="1:8" ht="57" customHeight="1" x14ac:dyDescent="0.25">
      <c r="A186" s="19">
        <f t="shared" si="89"/>
        <v>176</v>
      </c>
      <c r="B186" s="10" t="s">
        <v>178</v>
      </c>
      <c r="C186" s="11" t="s">
        <v>162</v>
      </c>
      <c r="D186" s="11" t="s">
        <v>179</v>
      </c>
      <c r="E186" s="11"/>
      <c r="F186" s="12">
        <f>SUM(F187)</f>
        <v>40</v>
      </c>
      <c r="G186" s="12">
        <f t="shared" ref="G186:H186" si="103">SUM(G187)</f>
        <v>40</v>
      </c>
      <c r="H186" s="12">
        <f t="shared" si="103"/>
        <v>40</v>
      </c>
    </row>
    <row r="187" spans="1:8" ht="54" x14ac:dyDescent="0.25">
      <c r="A187" s="19">
        <f t="shared" si="89"/>
        <v>177</v>
      </c>
      <c r="B187" s="10" t="s">
        <v>28</v>
      </c>
      <c r="C187" s="11" t="s">
        <v>162</v>
      </c>
      <c r="D187" s="11" t="s">
        <v>179</v>
      </c>
      <c r="E187" s="11" t="s">
        <v>29</v>
      </c>
      <c r="F187" s="12">
        <v>40</v>
      </c>
      <c r="G187" s="12">
        <v>40</v>
      </c>
      <c r="H187" s="12">
        <v>40</v>
      </c>
    </row>
    <row r="188" spans="1:8" ht="70.5" customHeight="1" x14ac:dyDescent="0.25">
      <c r="A188" s="19">
        <f t="shared" si="89"/>
        <v>178</v>
      </c>
      <c r="B188" s="10" t="s">
        <v>180</v>
      </c>
      <c r="C188" s="11" t="s">
        <v>162</v>
      </c>
      <c r="D188" s="11" t="s">
        <v>181</v>
      </c>
      <c r="E188" s="11"/>
      <c r="F188" s="12">
        <f>SUM(F189)</f>
        <v>65</v>
      </c>
      <c r="G188" s="12">
        <f t="shared" ref="G188:H188" si="104">SUM(G189)</f>
        <v>65</v>
      </c>
      <c r="H188" s="12">
        <f t="shared" si="104"/>
        <v>65</v>
      </c>
    </row>
    <row r="189" spans="1:8" ht="54" x14ac:dyDescent="0.25">
      <c r="A189" s="19">
        <f t="shared" si="89"/>
        <v>179</v>
      </c>
      <c r="B189" s="10" t="s">
        <v>28</v>
      </c>
      <c r="C189" s="11" t="s">
        <v>162</v>
      </c>
      <c r="D189" s="11" t="s">
        <v>181</v>
      </c>
      <c r="E189" s="11" t="s">
        <v>29</v>
      </c>
      <c r="F189" s="12">
        <v>65</v>
      </c>
      <c r="G189" s="12">
        <v>65</v>
      </c>
      <c r="H189" s="12">
        <v>65</v>
      </c>
    </row>
    <row r="190" spans="1:8" ht="90.75" customHeight="1" x14ac:dyDescent="0.25">
      <c r="A190" s="19">
        <f t="shared" si="89"/>
        <v>180</v>
      </c>
      <c r="B190" s="10" t="s">
        <v>182</v>
      </c>
      <c r="C190" s="11" t="s">
        <v>162</v>
      </c>
      <c r="D190" s="11" t="s">
        <v>183</v>
      </c>
      <c r="E190" s="11"/>
      <c r="F190" s="12">
        <f>SUM(F191+F194)</f>
        <v>617.48</v>
      </c>
      <c r="G190" s="12">
        <f t="shared" ref="G190:H190" si="105">SUM(G191+G194)</f>
        <v>20</v>
      </c>
      <c r="H190" s="12">
        <f t="shared" si="105"/>
        <v>20</v>
      </c>
    </row>
    <row r="191" spans="1:8" ht="90" x14ac:dyDescent="0.25">
      <c r="A191" s="19">
        <f t="shared" si="89"/>
        <v>181</v>
      </c>
      <c r="B191" s="10" t="s">
        <v>184</v>
      </c>
      <c r="C191" s="11" t="s">
        <v>162</v>
      </c>
      <c r="D191" s="11" t="s">
        <v>185</v>
      </c>
      <c r="E191" s="11"/>
      <c r="F191" s="12">
        <f>SUM(F192:F193)</f>
        <v>597.48</v>
      </c>
      <c r="G191" s="12">
        <f t="shared" ref="G191:H191" si="106">SUM(G192:G193)</f>
        <v>20</v>
      </c>
      <c r="H191" s="12">
        <f t="shared" si="106"/>
        <v>20</v>
      </c>
    </row>
    <row r="192" spans="1:8" ht="54" x14ac:dyDescent="0.25">
      <c r="A192" s="19">
        <f t="shared" si="89"/>
        <v>182</v>
      </c>
      <c r="B192" s="10" t="s">
        <v>28</v>
      </c>
      <c r="C192" s="11" t="s">
        <v>162</v>
      </c>
      <c r="D192" s="11" t="s">
        <v>185</v>
      </c>
      <c r="E192" s="11" t="s">
        <v>29</v>
      </c>
      <c r="F192" s="12">
        <f>63-30.22</f>
        <v>32.78</v>
      </c>
      <c r="G192" s="12">
        <v>20</v>
      </c>
      <c r="H192" s="12">
        <v>20</v>
      </c>
    </row>
    <row r="193" spans="1:8" x14ac:dyDescent="0.25">
      <c r="A193" s="19">
        <f t="shared" si="89"/>
        <v>183</v>
      </c>
      <c r="B193" s="10" t="s">
        <v>137</v>
      </c>
      <c r="C193" s="11" t="s">
        <v>162</v>
      </c>
      <c r="D193" s="11" t="s">
        <v>185</v>
      </c>
      <c r="E193" s="11" t="s">
        <v>138</v>
      </c>
      <c r="F193" s="12">
        <f>737-172.3</f>
        <v>564.70000000000005</v>
      </c>
      <c r="G193" s="12">
        <v>0</v>
      </c>
      <c r="H193" s="12">
        <v>0</v>
      </c>
    </row>
    <row r="194" spans="1:8" ht="72" x14ac:dyDescent="0.25">
      <c r="A194" s="19">
        <f t="shared" si="89"/>
        <v>184</v>
      </c>
      <c r="B194" s="10" t="s">
        <v>835</v>
      </c>
      <c r="C194" s="11" t="s">
        <v>162</v>
      </c>
      <c r="D194" s="11">
        <v>1600116020</v>
      </c>
      <c r="E194" s="11"/>
      <c r="F194" s="12">
        <f>SUM(F195:F196)</f>
        <v>20</v>
      </c>
      <c r="G194" s="12">
        <f t="shared" ref="G194:H194" si="107">SUM(G195:G196)</f>
        <v>0</v>
      </c>
      <c r="H194" s="12">
        <f t="shared" si="107"/>
        <v>0</v>
      </c>
    </row>
    <row r="195" spans="1:8" x14ac:dyDescent="0.25">
      <c r="A195" s="19"/>
      <c r="B195" s="10" t="s">
        <v>137</v>
      </c>
      <c r="C195" s="11" t="s">
        <v>162</v>
      </c>
      <c r="D195" s="11">
        <v>1600116020</v>
      </c>
      <c r="E195" s="11">
        <v>610</v>
      </c>
      <c r="F195" s="12">
        <v>10</v>
      </c>
      <c r="G195" s="12">
        <v>0</v>
      </c>
      <c r="H195" s="12">
        <v>0</v>
      </c>
    </row>
    <row r="196" spans="1:8" x14ac:dyDescent="0.25">
      <c r="A196" s="19">
        <f>SUM(A194+1)</f>
        <v>185</v>
      </c>
      <c r="B196" s="10" t="s">
        <v>143</v>
      </c>
      <c r="C196" s="11" t="s">
        <v>162</v>
      </c>
      <c r="D196" s="11">
        <v>1600116020</v>
      </c>
      <c r="E196" s="11">
        <v>620</v>
      </c>
      <c r="F196" s="12">
        <v>10</v>
      </c>
      <c r="G196" s="12">
        <v>0</v>
      </c>
      <c r="H196" s="12">
        <v>0</v>
      </c>
    </row>
    <row r="197" spans="1:8" x14ac:dyDescent="0.25">
      <c r="A197" s="18">
        <f t="shared" si="89"/>
        <v>186</v>
      </c>
      <c r="B197" s="14" t="s">
        <v>186</v>
      </c>
      <c r="C197" s="15" t="s">
        <v>187</v>
      </c>
      <c r="D197" s="15"/>
      <c r="E197" s="15"/>
      <c r="F197" s="16">
        <f>SUM(F198+F217+F227+F234+F271+F278+F222)</f>
        <v>332356.40000000002</v>
      </c>
      <c r="G197" s="16">
        <f t="shared" ref="G197:H197" si="108">SUM(G198+G217+G227+G234+G271+G278+G222)</f>
        <v>109611.69</v>
      </c>
      <c r="H197" s="16">
        <f t="shared" si="108"/>
        <v>79612.08</v>
      </c>
    </row>
    <row r="198" spans="1:8" x14ac:dyDescent="0.25">
      <c r="A198" s="18">
        <f t="shared" si="89"/>
        <v>187</v>
      </c>
      <c r="B198" s="14" t="s">
        <v>188</v>
      </c>
      <c r="C198" s="15" t="s">
        <v>189</v>
      </c>
      <c r="D198" s="15"/>
      <c r="E198" s="15"/>
      <c r="F198" s="16">
        <f>SUM(F199+F211+F207)</f>
        <v>2250.89</v>
      </c>
      <c r="G198" s="16">
        <f t="shared" ref="G198:H198" si="109">SUM(G199+G211)</f>
        <v>1891.5</v>
      </c>
      <c r="H198" s="16">
        <f t="shared" si="109"/>
        <v>1891.5</v>
      </c>
    </row>
    <row r="199" spans="1:8" ht="72" x14ac:dyDescent="0.25">
      <c r="A199" s="19">
        <f t="shared" si="89"/>
        <v>188</v>
      </c>
      <c r="B199" s="10" t="s">
        <v>190</v>
      </c>
      <c r="C199" s="11" t="s">
        <v>189</v>
      </c>
      <c r="D199" s="11" t="s">
        <v>191</v>
      </c>
      <c r="E199" s="11"/>
      <c r="F199" s="12">
        <f>SUM(F200)</f>
        <v>1833</v>
      </c>
      <c r="G199" s="12">
        <f t="shared" ref="G199:H199" si="110">SUM(G200)</f>
        <v>1833</v>
      </c>
      <c r="H199" s="12">
        <f t="shared" si="110"/>
        <v>1833</v>
      </c>
    </row>
    <row r="200" spans="1:8" ht="36" x14ac:dyDescent="0.25">
      <c r="A200" s="19">
        <f t="shared" si="89"/>
        <v>189</v>
      </c>
      <c r="B200" s="10" t="s">
        <v>192</v>
      </c>
      <c r="C200" s="11" t="s">
        <v>189</v>
      </c>
      <c r="D200" s="11" t="s">
        <v>193</v>
      </c>
      <c r="E200" s="11"/>
      <c r="F200" s="12">
        <f>SUM(F201+F204)</f>
        <v>1833</v>
      </c>
      <c r="G200" s="12">
        <f t="shared" ref="G200:H200" si="111">SUM(G201+G204)</f>
        <v>1833</v>
      </c>
      <c r="H200" s="12">
        <f t="shared" si="111"/>
        <v>1833</v>
      </c>
    </row>
    <row r="201" spans="1:8" ht="90" x14ac:dyDescent="0.25">
      <c r="A201" s="19">
        <f t="shared" si="89"/>
        <v>190</v>
      </c>
      <c r="B201" s="10" t="s">
        <v>194</v>
      </c>
      <c r="C201" s="11" t="s">
        <v>189</v>
      </c>
      <c r="D201" s="11" t="s">
        <v>195</v>
      </c>
      <c r="E201" s="11"/>
      <c r="F201" s="12">
        <f>SUM(F202:F203)</f>
        <v>1554.7</v>
      </c>
      <c r="G201" s="12">
        <f t="shared" ref="G201:H201" si="112">SUM(G202:G203)</f>
        <v>1554.7</v>
      </c>
      <c r="H201" s="12">
        <f t="shared" si="112"/>
        <v>1554.7</v>
      </c>
    </row>
    <row r="202" spans="1:8" ht="36" x14ac:dyDescent="0.25">
      <c r="A202" s="19">
        <f t="shared" si="89"/>
        <v>191</v>
      </c>
      <c r="B202" s="10" t="s">
        <v>18</v>
      </c>
      <c r="C202" s="11" t="s">
        <v>189</v>
      </c>
      <c r="D202" s="11" t="s">
        <v>195</v>
      </c>
      <c r="E202" s="11" t="s">
        <v>19</v>
      </c>
      <c r="F202" s="12">
        <v>88</v>
      </c>
      <c r="G202" s="12">
        <v>88</v>
      </c>
      <c r="H202" s="12">
        <v>88</v>
      </c>
    </row>
    <row r="203" spans="1:8" ht="54" x14ac:dyDescent="0.25">
      <c r="A203" s="19">
        <f t="shared" si="89"/>
        <v>192</v>
      </c>
      <c r="B203" s="10" t="s">
        <v>28</v>
      </c>
      <c r="C203" s="11" t="s">
        <v>189</v>
      </c>
      <c r="D203" s="11" t="s">
        <v>195</v>
      </c>
      <c r="E203" s="11" t="s">
        <v>29</v>
      </c>
      <c r="F203" s="12">
        <v>1466.7</v>
      </c>
      <c r="G203" s="12">
        <v>1466.7</v>
      </c>
      <c r="H203" s="12">
        <v>1466.7</v>
      </c>
    </row>
    <row r="204" spans="1:8" ht="126" x14ac:dyDescent="0.25">
      <c r="A204" s="19">
        <f t="shared" si="89"/>
        <v>193</v>
      </c>
      <c r="B204" s="10" t="s">
        <v>196</v>
      </c>
      <c r="C204" s="11" t="s">
        <v>189</v>
      </c>
      <c r="D204" s="11" t="s">
        <v>197</v>
      </c>
      <c r="E204" s="11"/>
      <c r="F204" s="12">
        <f>SUM(F205:F206)</f>
        <v>278.3</v>
      </c>
      <c r="G204" s="12">
        <f t="shared" ref="G204:H204" si="113">SUM(G205:G206)</f>
        <v>278.3</v>
      </c>
      <c r="H204" s="12">
        <f t="shared" si="113"/>
        <v>278.3</v>
      </c>
    </row>
    <row r="205" spans="1:8" ht="36" x14ac:dyDescent="0.25">
      <c r="A205" s="19">
        <f t="shared" si="89"/>
        <v>194</v>
      </c>
      <c r="B205" s="10" t="s">
        <v>18</v>
      </c>
      <c r="C205" s="11" t="s">
        <v>189</v>
      </c>
      <c r="D205" s="11" t="s">
        <v>197</v>
      </c>
      <c r="E205" s="11" t="s">
        <v>19</v>
      </c>
      <c r="F205" s="12">
        <v>15.7</v>
      </c>
      <c r="G205" s="12">
        <v>15.7</v>
      </c>
      <c r="H205" s="12">
        <v>15.7</v>
      </c>
    </row>
    <row r="206" spans="1:8" ht="54" x14ac:dyDescent="0.25">
      <c r="A206" s="19">
        <f t="shared" si="89"/>
        <v>195</v>
      </c>
      <c r="B206" s="10" t="s">
        <v>28</v>
      </c>
      <c r="C206" s="11" t="s">
        <v>189</v>
      </c>
      <c r="D206" s="11" t="s">
        <v>197</v>
      </c>
      <c r="E206" s="11" t="s">
        <v>29</v>
      </c>
      <c r="F206" s="12">
        <v>262.60000000000002</v>
      </c>
      <c r="G206" s="12">
        <v>262.60000000000002</v>
      </c>
      <c r="H206" s="12">
        <v>262.60000000000002</v>
      </c>
    </row>
    <row r="207" spans="1:8" ht="108" x14ac:dyDescent="0.25">
      <c r="A207" s="19">
        <f t="shared" si="89"/>
        <v>196</v>
      </c>
      <c r="B207" s="10" t="s">
        <v>87</v>
      </c>
      <c r="C207" s="11" t="s">
        <v>189</v>
      </c>
      <c r="D207" s="11" t="s">
        <v>88</v>
      </c>
      <c r="E207" s="11"/>
      <c r="F207" s="12">
        <f>SUM(F208)</f>
        <v>359.39</v>
      </c>
      <c r="G207" s="12">
        <f t="shared" ref="G207:H207" si="114">SUM(G208)</f>
        <v>0</v>
      </c>
      <c r="H207" s="12">
        <f t="shared" si="114"/>
        <v>0</v>
      </c>
    </row>
    <row r="208" spans="1:8" ht="72" x14ac:dyDescent="0.25">
      <c r="A208" s="19">
        <f t="shared" si="89"/>
        <v>197</v>
      </c>
      <c r="B208" s="10" t="s">
        <v>282</v>
      </c>
      <c r="C208" s="11" t="s">
        <v>189</v>
      </c>
      <c r="D208" s="11" t="s">
        <v>283</v>
      </c>
      <c r="E208" s="11"/>
      <c r="F208" s="12">
        <f>SUM(F209)</f>
        <v>359.39</v>
      </c>
      <c r="G208" s="12">
        <f t="shared" ref="G208:H208" si="115">SUM(G209)</f>
        <v>0</v>
      </c>
      <c r="H208" s="12">
        <f t="shared" si="115"/>
        <v>0</v>
      </c>
    </row>
    <row r="209" spans="1:8" ht="162" x14ac:dyDescent="0.25">
      <c r="A209" s="19">
        <f t="shared" si="89"/>
        <v>198</v>
      </c>
      <c r="B209" s="10" t="s">
        <v>284</v>
      </c>
      <c r="C209" s="11" t="s">
        <v>189</v>
      </c>
      <c r="D209" s="11" t="s">
        <v>285</v>
      </c>
      <c r="E209" s="11"/>
      <c r="F209" s="12">
        <f>SUM(F210)</f>
        <v>359.39</v>
      </c>
      <c r="G209" s="12">
        <f t="shared" ref="G209:H209" si="116">SUM(G210)</f>
        <v>0</v>
      </c>
      <c r="H209" s="12">
        <f t="shared" si="116"/>
        <v>0</v>
      </c>
    </row>
    <row r="210" spans="1:8" ht="54" x14ac:dyDescent="0.25">
      <c r="A210" s="19">
        <f t="shared" si="89"/>
        <v>199</v>
      </c>
      <c r="B210" s="10" t="s">
        <v>28</v>
      </c>
      <c r="C210" s="11" t="s">
        <v>189</v>
      </c>
      <c r="D210" s="11" t="s">
        <v>285</v>
      </c>
      <c r="E210" s="11">
        <v>240</v>
      </c>
      <c r="F210" s="12">
        <v>359.39</v>
      </c>
      <c r="G210" s="12">
        <v>0</v>
      </c>
      <c r="H210" s="12">
        <v>0</v>
      </c>
    </row>
    <row r="211" spans="1:8" ht="72" x14ac:dyDescent="0.25">
      <c r="A211" s="19">
        <f t="shared" si="89"/>
        <v>200</v>
      </c>
      <c r="B211" s="10" t="s">
        <v>198</v>
      </c>
      <c r="C211" s="11" t="s">
        <v>189</v>
      </c>
      <c r="D211" s="11" t="s">
        <v>199</v>
      </c>
      <c r="E211" s="11"/>
      <c r="F211" s="12">
        <f>SUM(F212)</f>
        <v>58.5</v>
      </c>
      <c r="G211" s="12">
        <f t="shared" ref="G211:H211" si="117">SUM(G212)</f>
        <v>58.5</v>
      </c>
      <c r="H211" s="12">
        <f t="shared" si="117"/>
        <v>58.5</v>
      </c>
    </row>
    <row r="212" spans="1:8" ht="72" x14ac:dyDescent="0.25">
      <c r="A212" s="19">
        <f t="shared" si="89"/>
        <v>201</v>
      </c>
      <c r="B212" s="10" t="s">
        <v>200</v>
      </c>
      <c r="C212" s="11" t="s">
        <v>189</v>
      </c>
      <c r="D212" s="11" t="s">
        <v>201</v>
      </c>
      <c r="E212" s="11"/>
      <c r="F212" s="12">
        <v>58.5</v>
      </c>
      <c r="G212" s="12">
        <v>58.5</v>
      </c>
      <c r="H212" s="12">
        <v>58.5</v>
      </c>
    </row>
    <row r="213" spans="1:8" ht="36" x14ac:dyDescent="0.25">
      <c r="A213" s="19">
        <f t="shared" si="89"/>
        <v>202</v>
      </c>
      <c r="B213" s="10" t="s">
        <v>202</v>
      </c>
      <c r="C213" s="11" t="s">
        <v>189</v>
      </c>
      <c r="D213" s="11" t="s">
        <v>203</v>
      </c>
      <c r="E213" s="11"/>
      <c r="F213" s="12">
        <f>SUM(F214)</f>
        <v>57</v>
      </c>
      <c r="G213" s="12">
        <f t="shared" ref="G213:H213" si="118">SUM(G214)</f>
        <v>57</v>
      </c>
      <c r="H213" s="12">
        <f t="shared" si="118"/>
        <v>57</v>
      </c>
    </row>
    <row r="214" spans="1:8" x14ac:dyDescent="0.25">
      <c r="A214" s="19">
        <f t="shared" si="89"/>
        <v>203</v>
      </c>
      <c r="B214" s="10" t="s">
        <v>204</v>
      </c>
      <c r="C214" s="11" t="s">
        <v>189</v>
      </c>
      <c r="D214" s="11" t="s">
        <v>203</v>
      </c>
      <c r="E214" s="11" t="s">
        <v>205</v>
      </c>
      <c r="F214" s="12">
        <v>57</v>
      </c>
      <c r="G214" s="12">
        <v>57</v>
      </c>
      <c r="H214" s="12">
        <v>57</v>
      </c>
    </row>
    <row r="215" spans="1:8" ht="36" x14ac:dyDescent="0.25">
      <c r="A215" s="19">
        <f t="shared" si="89"/>
        <v>204</v>
      </c>
      <c r="B215" s="10" t="s">
        <v>206</v>
      </c>
      <c r="C215" s="11" t="s">
        <v>189</v>
      </c>
      <c r="D215" s="11" t="s">
        <v>207</v>
      </c>
      <c r="E215" s="11"/>
      <c r="F215" s="12">
        <f>SUM(F216)</f>
        <v>1.5</v>
      </c>
      <c r="G215" s="12">
        <f t="shared" ref="G215:H215" si="119">SUM(G216)</f>
        <v>1.5</v>
      </c>
      <c r="H215" s="12">
        <f t="shared" si="119"/>
        <v>1.5</v>
      </c>
    </row>
    <row r="216" spans="1:8" ht="54" x14ac:dyDescent="0.25">
      <c r="A216" s="19">
        <f t="shared" si="89"/>
        <v>205</v>
      </c>
      <c r="B216" s="10" t="s">
        <v>28</v>
      </c>
      <c r="C216" s="11" t="s">
        <v>189</v>
      </c>
      <c r="D216" s="11" t="s">
        <v>207</v>
      </c>
      <c r="E216" s="11" t="s">
        <v>29</v>
      </c>
      <c r="F216" s="12">
        <v>1.5</v>
      </c>
      <c r="G216" s="12">
        <v>1.5</v>
      </c>
      <c r="H216" s="12">
        <v>1.5</v>
      </c>
    </row>
    <row r="217" spans="1:8" x14ac:dyDescent="0.25">
      <c r="A217" s="18">
        <f t="shared" si="89"/>
        <v>206</v>
      </c>
      <c r="B217" s="14" t="s">
        <v>208</v>
      </c>
      <c r="C217" s="15" t="s">
        <v>209</v>
      </c>
      <c r="D217" s="15"/>
      <c r="E217" s="15"/>
      <c r="F217" s="16">
        <f>SUM(F218)</f>
        <v>2218.42</v>
      </c>
      <c r="G217" s="16">
        <f t="shared" ref="G217:H217" si="120">SUM(G218)</f>
        <v>2257.5300000000002</v>
      </c>
      <c r="H217" s="16">
        <f t="shared" si="120"/>
        <v>2302.89</v>
      </c>
    </row>
    <row r="218" spans="1:8" ht="72" x14ac:dyDescent="0.25">
      <c r="A218" s="19">
        <f t="shared" si="89"/>
        <v>207</v>
      </c>
      <c r="B218" s="10" t="s">
        <v>117</v>
      </c>
      <c r="C218" s="11" t="s">
        <v>209</v>
      </c>
      <c r="D218" s="11" t="s">
        <v>118</v>
      </c>
      <c r="E218" s="11"/>
      <c r="F218" s="12">
        <f>SUM(F219)</f>
        <v>2218.42</v>
      </c>
      <c r="G218" s="12">
        <f t="shared" ref="G218:H218" si="121">SUM(G219)</f>
        <v>2257.5300000000002</v>
      </c>
      <c r="H218" s="12">
        <f t="shared" si="121"/>
        <v>2302.89</v>
      </c>
    </row>
    <row r="219" spans="1:8" ht="54" x14ac:dyDescent="0.25">
      <c r="A219" s="19">
        <f t="shared" si="89"/>
        <v>208</v>
      </c>
      <c r="B219" s="10" t="s">
        <v>157</v>
      </c>
      <c r="C219" s="11" t="s">
        <v>209</v>
      </c>
      <c r="D219" s="11" t="s">
        <v>158</v>
      </c>
      <c r="E219" s="11"/>
      <c r="F219" s="12">
        <f>SUM(F220)</f>
        <v>2218.42</v>
      </c>
      <c r="G219" s="12">
        <f t="shared" ref="G219:H219" si="122">SUM(G220)</f>
        <v>2257.5300000000002</v>
      </c>
      <c r="H219" s="12">
        <f t="shared" si="122"/>
        <v>2302.89</v>
      </c>
    </row>
    <row r="220" spans="1:8" ht="72" x14ac:dyDescent="0.25">
      <c r="A220" s="19">
        <f t="shared" si="89"/>
        <v>209</v>
      </c>
      <c r="B220" s="10" t="s">
        <v>210</v>
      </c>
      <c r="C220" s="11" t="s">
        <v>209</v>
      </c>
      <c r="D220" s="11" t="s">
        <v>211</v>
      </c>
      <c r="E220" s="11"/>
      <c r="F220" s="12">
        <f>SUM(F221)</f>
        <v>2218.42</v>
      </c>
      <c r="G220" s="12">
        <f t="shared" ref="G220:H220" si="123">SUM(G221)</f>
        <v>2257.5300000000002</v>
      </c>
      <c r="H220" s="12">
        <f t="shared" si="123"/>
        <v>2302.89</v>
      </c>
    </row>
    <row r="221" spans="1:8" x14ac:dyDescent="0.25">
      <c r="A221" s="19">
        <f t="shared" si="89"/>
        <v>210</v>
      </c>
      <c r="B221" s="10" t="s">
        <v>137</v>
      </c>
      <c r="C221" s="11" t="s">
        <v>209</v>
      </c>
      <c r="D221" s="11" t="s">
        <v>211</v>
      </c>
      <c r="E221" s="11" t="s">
        <v>138</v>
      </c>
      <c r="F221" s="12">
        <v>2218.42</v>
      </c>
      <c r="G221" s="12">
        <v>2257.5300000000002</v>
      </c>
      <c r="H221" s="12">
        <v>2302.89</v>
      </c>
    </row>
    <row r="222" spans="1:8" s="20" customFormat="1" x14ac:dyDescent="0.25">
      <c r="A222" s="18">
        <f t="shared" si="89"/>
        <v>211</v>
      </c>
      <c r="B222" s="14" t="s">
        <v>780</v>
      </c>
      <c r="C222" s="25" t="s">
        <v>779</v>
      </c>
      <c r="D222" s="15"/>
      <c r="E222" s="15"/>
      <c r="F222" s="16">
        <f>SUM(F223)</f>
        <v>300</v>
      </c>
      <c r="G222" s="16">
        <f t="shared" ref="G222:H222" si="124">SUM(G223)</f>
        <v>0</v>
      </c>
      <c r="H222" s="16">
        <f t="shared" si="124"/>
        <v>0</v>
      </c>
    </row>
    <row r="223" spans="1:8" ht="108" x14ac:dyDescent="0.25">
      <c r="A223" s="19">
        <f t="shared" si="89"/>
        <v>212</v>
      </c>
      <c r="B223" s="10" t="s">
        <v>87</v>
      </c>
      <c r="C223" s="24" t="s">
        <v>779</v>
      </c>
      <c r="D223" s="11" t="s">
        <v>88</v>
      </c>
      <c r="E223" s="11"/>
      <c r="F223" s="12">
        <f>SUM(F224)</f>
        <v>300</v>
      </c>
      <c r="G223" s="12">
        <f t="shared" ref="G223:H223" si="125">SUM(G224)</f>
        <v>0</v>
      </c>
      <c r="H223" s="12">
        <f t="shared" si="125"/>
        <v>0</v>
      </c>
    </row>
    <row r="224" spans="1:8" ht="72" x14ac:dyDescent="0.25">
      <c r="A224" s="19">
        <f t="shared" si="89"/>
        <v>213</v>
      </c>
      <c r="B224" s="10" t="s">
        <v>282</v>
      </c>
      <c r="C224" s="24" t="s">
        <v>779</v>
      </c>
      <c r="D224" s="11" t="s">
        <v>283</v>
      </c>
      <c r="E224" s="11"/>
      <c r="F224" s="12">
        <f>SUM(F225)</f>
        <v>300</v>
      </c>
      <c r="G224" s="12">
        <f t="shared" ref="G224:H224" si="126">SUM(G225)</f>
        <v>0</v>
      </c>
      <c r="H224" s="12">
        <f t="shared" si="126"/>
        <v>0</v>
      </c>
    </row>
    <row r="225" spans="1:8" ht="162" x14ac:dyDescent="0.25">
      <c r="A225" s="19">
        <f t="shared" si="89"/>
        <v>214</v>
      </c>
      <c r="B225" s="10" t="s">
        <v>284</v>
      </c>
      <c r="C225" s="24" t="s">
        <v>779</v>
      </c>
      <c r="D225" s="11" t="s">
        <v>285</v>
      </c>
      <c r="E225" s="11"/>
      <c r="F225" s="12">
        <f>SUM(F226)</f>
        <v>300</v>
      </c>
      <c r="G225" s="12">
        <f t="shared" ref="G225:H225" si="127">SUM(G226)</f>
        <v>0</v>
      </c>
      <c r="H225" s="12">
        <f t="shared" si="127"/>
        <v>0</v>
      </c>
    </row>
    <row r="226" spans="1:8" ht="54" x14ac:dyDescent="0.25">
      <c r="A226" s="19">
        <f t="shared" si="89"/>
        <v>215</v>
      </c>
      <c r="B226" s="10" t="s">
        <v>28</v>
      </c>
      <c r="C226" s="24" t="s">
        <v>779</v>
      </c>
      <c r="D226" s="11" t="s">
        <v>285</v>
      </c>
      <c r="E226" s="11" t="s">
        <v>29</v>
      </c>
      <c r="F226" s="12">
        <v>300</v>
      </c>
      <c r="G226" s="12">
        <v>0</v>
      </c>
      <c r="H226" s="12">
        <v>0</v>
      </c>
    </row>
    <row r="227" spans="1:8" x14ac:dyDescent="0.25">
      <c r="A227" s="18">
        <f t="shared" si="89"/>
        <v>216</v>
      </c>
      <c r="B227" s="14" t="s">
        <v>212</v>
      </c>
      <c r="C227" s="15" t="s">
        <v>213</v>
      </c>
      <c r="D227" s="15"/>
      <c r="E227" s="15"/>
      <c r="F227" s="16">
        <f>SUM(F228)</f>
        <v>2822.06</v>
      </c>
      <c r="G227" s="16">
        <f t="shared" ref="G227:H227" si="128">SUM(G228)</f>
        <v>2782.1</v>
      </c>
      <c r="H227" s="16">
        <f t="shared" si="128"/>
        <v>2782.1</v>
      </c>
    </row>
    <row r="228" spans="1:8" ht="72" x14ac:dyDescent="0.25">
      <c r="A228" s="19">
        <f t="shared" si="89"/>
        <v>217</v>
      </c>
      <c r="B228" s="10" t="s">
        <v>214</v>
      </c>
      <c r="C228" s="11" t="s">
        <v>213</v>
      </c>
      <c r="D228" s="11" t="s">
        <v>215</v>
      </c>
      <c r="E228" s="11"/>
      <c r="F228" s="12">
        <f>SUM(F229)</f>
        <v>2822.06</v>
      </c>
      <c r="G228" s="12">
        <f t="shared" ref="G228:H228" si="129">SUM(G229)</f>
        <v>2782.1</v>
      </c>
      <c r="H228" s="12">
        <f t="shared" si="129"/>
        <v>2782.1</v>
      </c>
    </row>
    <row r="229" spans="1:8" ht="36" x14ac:dyDescent="0.25">
      <c r="A229" s="19">
        <f t="shared" si="89"/>
        <v>218</v>
      </c>
      <c r="B229" s="10" t="s">
        <v>216</v>
      </c>
      <c r="C229" s="11" t="s">
        <v>213</v>
      </c>
      <c r="D229" s="11" t="s">
        <v>217</v>
      </c>
      <c r="E229" s="11"/>
      <c r="F229" s="12">
        <f>SUM(F230+F232)</f>
        <v>2822.06</v>
      </c>
      <c r="G229" s="12">
        <f t="shared" ref="G229:H229" si="130">SUM(G230+G232)</f>
        <v>2782.1</v>
      </c>
      <c r="H229" s="12">
        <f t="shared" si="130"/>
        <v>2782.1</v>
      </c>
    </row>
    <row r="230" spans="1:8" ht="54" x14ac:dyDescent="0.25">
      <c r="A230" s="19">
        <f t="shared" si="89"/>
        <v>219</v>
      </c>
      <c r="B230" s="10" t="s">
        <v>218</v>
      </c>
      <c r="C230" s="11" t="s">
        <v>213</v>
      </c>
      <c r="D230" s="11" t="s">
        <v>219</v>
      </c>
      <c r="E230" s="11"/>
      <c r="F230" s="12">
        <f>SUM(F231)</f>
        <v>69.960000000000008</v>
      </c>
      <c r="G230" s="12">
        <f t="shared" ref="G230:H230" si="131">SUM(G231)</f>
        <v>30</v>
      </c>
      <c r="H230" s="12">
        <f t="shared" si="131"/>
        <v>30</v>
      </c>
    </row>
    <row r="231" spans="1:8" ht="54" x14ac:dyDescent="0.25">
      <c r="A231" s="19">
        <f t="shared" si="89"/>
        <v>220</v>
      </c>
      <c r="B231" s="10" t="s">
        <v>28</v>
      </c>
      <c r="C231" s="11" t="s">
        <v>213</v>
      </c>
      <c r="D231" s="11" t="s">
        <v>219</v>
      </c>
      <c r="E231" s="11" t="s">
        <v>29</v>
      </c>
      <c r="F231" s="12">
        <f>30+39.96</f>
        <v>69.960000000000008</v>
      </c>
      <c r="G231" s="12">
        <v>30</v>
      </c>
      <c r="H231" s="12">
        <v>30</v>
      </c>
    </row>
    <row r="232" spans="1:8" ht="90" x14ac:dyDescent="0.25">
      <c r="A232" s="19">
        <f t="shared" si="89"/>
        <v>221</v>
      </c>
      <c r="B232" s="10" t="s">
        <v>220</v>
      </c>
      <c r="C232" s="11" t="s">
        <v>213</v>
      </c>
      <c r="D232" s="11" t="s">
        <v>221</v>
      </c>
      <c r="E232" s="11"/>
      <c r="F232" s="12">
        <f>SUM(F233)</f>
        <v>2752.1</v>
      </c>
      <c r="G232" s="12">
        <f t="shared" ref="G232:H232" si="132">SUM(G233)</f>
        <v>2752.1</v>
      </c>
      <c r="H232" s="12">
        <f t="shared" si="132"/>
        <v>2752.1</v>
      </c>
    </row>
    <row r="233" spans="1:8" ht="54" x14ac:dyDescent="0.25">
      <c r="A233" s="19">
        <f t="shared" si="89"/>
        <v>222</v>
      </c>
      <c r="B233" s="10" t="s">
        <v>28</v>
      </c>
      <c r="C233" s="11" t="s">
        <v>213</v>
      </c>
      <c r="D233" s="11" t="s">
        <v>221</v>
      </c>
      <c r="E233" s="11" t="s">
        <v>29</v>
      </c>
      <c r="F233" s="12">
        <v>2752.1</v>
      </c>
      <c r="G233" s="12">
        <v>2752.1</v>
      </c>
      <c r="H233" s="12">
        <v>2752.1</v>
      </c>
    </row>
    <row r="234" spans="1:8" ht="36" x14ac:dyDescent="0.25">
      <c r="A234" s="18">
        <f t="shared" si="89"/>
        <v>223</v>
      </c>
      <c r="B234" s="14" t="s">
        <v>222</v>
      </c>
      <c r="C234" s="15" t="s">
        <v>223</v>
      </c>
      <c r="D234" s="15"/>
      <c r="E234" s="15"/>
      <c r="F234" s="16">
        <f>SUM(F235)</f>
        <v>314152.66000000003</v>
      </c>
      <c r="G234" s="16">
        <f t="shared" ref="G234:H234" si="133">SUM(G235)</f>
        <v>93095.8</v>
      </c>
      <c r="H234" s="16">
        <f t="shared" si="133"/>
        <v>62680</v>
      </c>
    </row>
    <row r="235" spans="1:8" ht="72" x14ac:dyDescent="0.25">
      <c r="A235" s="19">
        <f t="shared" si="89"/>
        <v>224</v>
      </c>
      <c r="B235" s="10" t="s">
        <v>214</v>
      </c>
      <c r="C235" s="11" t="s">
        <v>223</v>
      </c>
      <c r="D235" s="11" t="s">
        <v>215</v>
      </c>
      <c r="E235" s="11"/>
      <c r="F235" s="12">
        <f>SUM(F236+F268)</f>
        <v>314152.66000000003</v>
      </c>
      <c r="G235" s="12">
        <f t="shared" ref="G235:H235" si="134">SUM(G236+G268)</f>
        <v>93095.8</v>
      </c>
      <c r="H235" s="12">
        <f t="shared" si="134"/>
        <v>62680</v>
      </c>
    </row>
    <row r="236" spans="1:8" ht="36" x14ac:dyDescent="0.25">
      <c r="A236" s="19">
        <f t="shared" si="89"/>
        <v>225</v>
      </c>
      <c r="B236" s="10" t="s">
        <v>224</v>
      </c>
      <c r="C236" s="11" t="s">
        <v>223</v>
      </c>
      <c r="D236" s="11" t="s">
        <v>225</v>
      </c>
      <c r="E236" s="11"/>
      <c r="F236" s="12">
        <f>SUM(F237+F239+F242+F244+F246+F248+F250+F252+F254+F256+F258+F260+F262+F264+F266)</f>
        <v>313552.66000000003</v>
      </c>
      <c r="G236" s="12">
        <f t="shared" ref="G236:H236" si="135">SUM(G237+G239+G242+G244+G246+G248+G250+G252+G254+G256+G258+G260+G262+G264+G266)</f>
        <v>93095.8</v>
      </c>
      <c r="H236" s="12">
        <f t="shared" si="135"/>
        <v>62680</v>
      </c>
    </row>
    <row r="237" spans="1:8" ht="54" x14ac:dyDescent="0.25">
      <c r="A237" s="19">
        <f t="shared" si="89"/>
        <v>226</v>
      </c>
      <c r="B237" s="10" t="s">
        <v>226</v>
      </c>
      <c r="C237" s="11" t="s">
        <v>223</v>
      </c>
      <c r="D237" s="11" t="s">
        <v>227</v>
      </c>
      <c r="E237" s="11"/>
      <c r="F237" s="12">
        <f>SUM(F238)</f>
        <v>8237</v>
      </c>
      <c r="G237" s="12">
        <f t="shared" ref="G237:H237" si="136">SUM(G238)</f>
        <v>0</v>
      </c>
      <c r="H237" s="12">
        <f t="shared" si="136"/>
        <v>0</v>
      </c>
    </row>
    <row r="238" spans="1:8" ht="54" x14ac:dyDescent="0.25">
      <c r="A238" s="19">
        <f t="shared" si="89"/>
        <v>227</v>
      </c>
      <c r="B238" s="10" t="s">
        <v>28</v>
      </c>
      <c r="C238" s="11" t="s">
        <v>223</v>
      </c>
      <c r="D238" s="11" t="s">
        <v>227</v>
      </c>
      <c r="E238" s="11" t="s">
        <v>29</v>
      </c>
      <c r="F238" s="12">
        <f>9237-1000</f>
        <v>8237</v>
      </c>
      <c r="G238" s="12">
        <v>0</v>
      </c>
      <c r="H238" s="12">
        <v>0</v>
      </c>
    </row>
    <row r="239" spans="1:8" x14ac:dyDescent="0.25">
      <c r="A239" s="19">
        <f t="shared" si="89"/>
        <v>228</v>
      </c>
      <c r="B239" s="10" t="s">
        <v>228</v>
      </c>
      <c r="C239" s="11" t="s">
        <v>223</v>
      </c>
      <c r="D239" s="11" t="s">
        <v>229</v>
      </c>
      <c r="E239" s="11"/>
      <c r="F239" s="12">
        <f>SUM(F240:F241)</f>
        <v>20196.72</v>
      </c>
      <c r="G239" s="12">
        <f t="shared" ref="G239:H239" si="137">SUM(G240:G241)</f>
        <v>19800</v>
      </c>
      <c r="H239" s="12">
        <f t="shared" si="137"/>
        <v>20900</v>
      </c>
    </row>
    <row r="240" spans="1:8" ht="54" x14ac:dyDescent="0.25">
      <c r="A240" s="19">
        <f t="shared" si="89"/>
        <v>229</v>
      </c>
      <c r="B240" s="10" t="s">
        <v>28</v>
      </c>
      <c r="C240" s="11" t="s">
        <v>223</v>
      </c>
      <c r="D240" s="11" t="s">
        <v>229</v>
      </c>
      <c r="E240" s="11" t="s">
        <v>29</v>
      </c>
      <c r="F240" s="12">
        <v>19996.72</v>
      </c>
      <c r="G240" s="12">
        <v>19600</v>
      </c>
      <c r="H240" s="12">
        <v>20700</v>
      </c>
    </row>
    <row r="241" spans="1:8" ht="36" x14ac:dyDescent="0.25">
      <c r="A241" s="19">
        <f t="shared" si="89"/>
        <v>230</v>
      </c>
      <c r="B241" s="10" t="s">
        <v>40</v>
      </c>
      <c r="C241" s="11" t="s">
        <v>223</v>
      </c>
      <c r="D241" s="11" t="s">
        <v>229</v>
      </c>
      <c r="E241" s="11" t="s">
        <v>41</v>
      </c>
      <c r="F241" s="12">
        <v>200</v>
      </c>
      <c r="G241" s="12">
        <v>200</v>
      </c>
      <c r="H241" s="12">
        <v>200</v>
      </c>
    </row>
    <row r="242" spans="1:8" ht="54" x14ac:dyDescent="0.25">
      <c r="A242" s="19">
        <f t="shared" si="89"/>
        <v>231</v>
      </c>
      <c r="B242" s="10" t="s">
        <v>230</v>
      </c>
      <c r="C242" s="11" t="s">
        <v>223</v>
      </c>
      <c r="D242" s="11" t="s">
        <v>231</v>
      </c>
      <c r="E242" s="11"/>
      <c r="F242" s="12">
        <f>SUM(F243)</f>
        <v>1466</v>
      </c>
      <c r="G242" s="12">
        <f t="shared" ref="G242:H242" si="138">SUM(G243)</f>
        <v>2550</v>
      </c>
      <c r="H242" s="12">
        <f t="shared" si="138"/>
        <v>2600</v>
      </c>
    </row>
    <row r="243" spans="1:8" ht="54" x14ac:dyDescent="0.25">
      <c r="A243" s="19">
        <f t="shared" ref="A243:A308" si="139">SUM(A242+1)</f>
        <v>232</v>
      </c>
      <c r="B243" s="10" t="s">
        <v>28</v>
      </c>
      <c r="C243" s="11" t="s">
        <v>223</v>
      </c>
      <c r="D243" s="11" t="s">
        <v>231</v>
      </c>
      <c r="E243" s="11" t="s">
        <v>29</v>
      </c>
      <c r="F243" s="12">
        <f>2500-1034</f>
        <v>1466</v>
      </c>
      <c r="G243" s="12">
        <v>2550</v>
      </c>
      <c r="H243" s="12">
        <v>2600</v>
      </c>
    </row>
    <row r="244" spans="1:8" ht="36" x14ac:dyDescent="0.25">
      <c r="A244" s="19">
        <f t="shared" si="139"/>
        <v>233</v>
      </c>
      <c r="B244" s="10" t="s">
        <v>232</v>
      </c>
      <c r="C244" s="11" t="s">
        <v>223</v>
      </c>
      <c r="D244" s="11" t="s">
        <v>233</v>
      </c>
      <c r="E244" s="11"/>
      <c r="F244" s="12">
        <f>SUM(F245)</f>
        <v>0</v>
      </c>
      <c r="G244" s="12">
        <f t="shared" ref="G244:H244" si="140">SUM(G245)</f>
        <v>600</v>
      </c>
      <c r="H244" s="12">
        <f t="shared" si="140"/>
        <v>650</v>
      </c>
    </row>
    <row r="245" spans="1:8" ht="54" x14ac:dyDescent="0.25">
      <c r="A245" s="19">
        <f t="shared" si="139"/>
        <v>234</v>
      </c>
      <c r="B245" s="10" t="s">
        <v>28</v>
      </c>
      <c r="C245" s="11" t="s">
        <v>223</v>
      </c>
      <c r="D245" s="11" t="s">
        <v>233</v>
      </c>
      <c r="E245" s="11" t="s">
        <v>29</v>
      </c>
      <c r="F245" s="12">
        <f>550-550</f>
        <v>0</v>
      </c>
      <c r="G245" s="12">
        <v>600</v>
      </c>
      <c r="H245" s="12">
        <v>650</v>
      </c>
    </row>
    <row r="246" spans="1:8" ht="54" x14ac:dyDescent="0.25">
      <c r="A246" s="19">
        <f t="shared" si="139"/>
        <v>235</v>
      </c>
      <c r="B246" s="10" t="s">
        <v>234</v>
      </c>
      <c r="C246" s="11" t="s">
        <v>223</v>
      </c>
      <c r="D246" s="11" t="s">
        <v>235</v>
      </c>
      <c r="E246" s="11"/>
      <c r="F246" s="12">
        <f>SUM(F247)</f>
        <v>1300</v>
      </c>
      <c r="G246" s="12">
        <f t="shared" ref="G246:H246" si="141">SUM(G247)</f>
        <v>1350</v>
      </c>
      <c r="H246" s="12">
        <f t="shared" si="141"/>
        <v>1400</v>
      </c>
    </row>
    <row r="247" spans="1:8" ht="54" x14ac:dyDescent="0.25">
      <c r="A247" s="19">
        <f t="shared" si="139"/>
        <v>236</v>
      </c>
      <c r="B247" s="10" t="s">
        <v>28</v>
      </c>
      <c r="C247" s="11" t="s">
        <v>223</v>
      </c>
      <c r="D247" s="11" t="s">
        <v>235</v>
      </c>
      <c r="E247" s="11" t="s">
        <v>29</v>
      </c>
      <c r="F247" s="12">
        <v>1300</v>
      </c>
      <c r="G247" s="12">
        <v>1350</v>
      </c>
      <c r="H247" s="12">
        <v>1400</v>
      </c>
    </row>
    <row r="248" spans="1:8" ht="36" x14ac:dyDescent="0.25">
      <c r="A248" s="19">
        <f t="shared" si="139"/>
        <v>237</v>
      </c>
      <c r="B248" s="10" t="s">
        <v>236</v>
      </c>
      <c r="C248" s="11" t="s">
        <v>223</v>
      </c>
      <c r="D248" s="11" t="s">
        <v>237</v>
      </c>
      <c r="E248" s="11"/>
      <c r="F248" s="12">
        <f>SUM(F249)</f>
        <v>0</v>
      </c>
      <c r="G248" s="12">
        <f t="shared" ref="G248:H248" si="142">SUM(G249)</f>
        <v>0</v>
      </c>
      <c r="H248" s="12">
        <f t="shared" si="142"/>
        <v>0</v>
      </c>
    </row>
    <row r="249" spans="1:8" ht="54" x14ac:dyDescent="0.25">
      <c r="A249" s="19">
        <f t="shared" si="139"/>
        <v>238</v>
      </c>
      <c r="B249" s="10" t="s">
        <v>28</v>
      </c>
      <c r="C249" s="11" t="s">
        <v>223</v>
      </c>
      <c r="D249" s="11" t="s">
        <v>237</v>
      </c>
      <c r="E249" s="11" t="s">
        <v>29</v>
      </c>
      <c r="F249" s="12">
        <f>2000-2000</f>
        <v>0</v>
      </c>
      <c r="G249" s="12">
        <v>0</v>
      </c>
      <c r="H249" s="12">
        <v>0</v>
      </c>
    </row>
    <row r="250" spans="1:8" ht="72" x14ac:dyDescent="0.25">
      <c r="A250" s="19">
        <f t="shared" si="139"/>
        <v>239</v>
      </c>
      <c r="B250" s="10" t="s">
        <v>238</v>
      </c>
      <c r="C250" s="11" t="s">
        <v>223</v>
      </c>
      <c r="D250" s="11" t="s">
        <v>239</v>
      </c>
      <c r="E250" s="11"/>
      <c r="F250" s="12">
        <f>SUM(F251)</f>
        <v>151747.9</v>
      </c>
      <c r="G250" s="12">
        <f t="shared" ref="G250:H250" si="143">SUM(G251)</f>
        <v>40244.06</v>
      </c>
      <c r="H250" s="12">
        <f t="shared" si="143"/>
        <v>24144.1</v>
      </c>
    </row>
    <row r="251" spans="1:8" ht="54" x14ac:dyDescent="0.25">
      <c r="A251" s="19">
        <f t="shared" si="139"/>
        <v>240</v>
      </c>
      <c r="B251" s="10" t="s">
        <v>28</v>
      </c>
      <c r="C251" s="11" t="s">
        <v>223</v>
      </c>
      <c r="D251" s="11" t="s">
        <v>239</v>
      </c>
      <c r="E251" s="11" t="s">
        <v>29</v>
      </c>
      <c r="F251" s="12">
        <f>150613.9+1134</f>
        <v>151747.9</v>
      </c>
      <c r="G251" s="12">
        <v>40244.06</v>
      </c>
      <c r="H251" s="12">
        <v>24144.1</v>
      </c>
    </row>
    <row r="252" spans="1:8" ht="36" x14ac:dyDescent="0.25">
      <c r="A252" s="19">
        <f t="shared" si="139"/>
        <v>241</v>
      </c>
      <c r="B252" s="10" t="s">
        <v>240</v>
      </c>
      <c r="C252" s="11" t="s">
        <v>223</v>
      </c>
      <c r="D252" s="11" t="s">
        <v>241</v>
      </c>
      <c r="E252" s="11"/>
      <c r="F252" s="12">
        <f>SUM(F253)</f>
        <v>3000</v>
      </c>
      <c r="G252" s="12">
        <f t="shared" ref="G252:H252" si="144">SUM(G253)</f>
        <v>159.74</v>
      </c>
      <c r="H252" s="12">
        <f t="shared" si="144"/>
        <v>1500</v>
      </c>
    </row>
    <row r="253" spans="1:8" ht="54" x14ac:dyDescent="0.25">
      <c r="A253" s="19">
        <f t="shared" si="139"/>
        <v>242</v>
      </c>
      <c r="B253" s="10" t="s">
        <v>28</v>
      </c>
      <c r="C253" s="11" t="s">
        <v>223</v>
      </c>
      <c r="D253" s="11" t="s">
        <v>241</v>
      </c>
      <c r="E253" s="11" t="s">
        <v>29</v>
      </c>
      <c r="F253" s="12">
        <v>3000</v>
      </c>
      <c r="G253" s="12">
        <f>1500-1340.26</f>
        <v>159.74</v>
      </c>
      <c r="H253" s="12">
        <v>1500</v>
      </c>
    </row>
    <row r="254" spans="1:8" ht="90" x14ac:dyDescent="0.25">
      <c r="A254" s="19">
        <f t="shared" si="139"/>
        <v>243</v>
      </c>
      <c r="B254" s="10" t="s">
        <v>242</v>
      </c>
      <c r="C254" s="11" t="s">
        <v>223</v>
      </c>
      <c r="D254" s="11" t="s">
        <v>243</v>
      </c>
      <c r="E254" s="11"/>
      <c r="F254" s="12">
        <f>SUM(F255)</f>
        <v>18782</v>
      </c>
      <c r="G254" s="12">
        <f t="shared" ref="G254:H254" si="145">SUM(G255)</f>
        <v>8916.84</v>
      </c>
      <c r="H254" s="12">
        <f t="shared" si="145"/>
        <v>3920</v>
      </c>
    </row>
    <row r="255" spans="1:8" ht="54" x14ac:dyDescent="0.25">
      <c r="A255" s="19">
        <f t="shared" si="139"/>
        <v>244</v>
      </c>
      <c r="B255" s="10" t="s">
        <v>28</v>
      </c>
      <c r="C255" s="11" t="s">
        <v>223</v>
      </c>
      <c r="D255" s="11" t="s">
        <v>243</v>
      </c>
      <c r="E255" s="11" t="s">
        <v>29</v>
      </c>
      <c r="F255" s="12">
        <v>18782</v>
      </c>
      <c r="G255" s="12">
        <v>8916.84</v>
      </c>
      <c r="H255" s="12">
        <v>3920</v>
      </c>
    </row>
    <row r="256" spans="1:8" ht="72" x14ac:dyDescent="0.25">
      <c r="A256" s="19">
        <f t="shared" si="139"/>
        <v>245</v>
      </c>
      <c r="B256" s="10" t="s">
        <v>244</v>
      </c>
      <c r="C256" s="11" t="s">
        <v>223</v>
      </c>
      <c r="D256" s="11" t="s">
        <v>245</v>
      </c>
      <c r="E256" s="11"/>
      <c r="F256" s="12">
        <f>SUM(F257)</f>
        <v>57146.04</v>
      </c>
      <c r="G256" s="12">
        <f t="shared" ref="G256:H256" si="146">SUM(G257)</f>
        <v>19275.16</v>
      </c>
      <c r="H256" s="12">
        <f t="shared" si="146"/>
        <v>7217.9</v>
      </c>
    </row>
    <row r="257" spans="1:8" ht="54" x14ac:dyDescent="0.25">
      <c r="A257" s="19">
        <f t="shared" si="139"/>
        <v>246</v>
      </c>
      <c r="B257" s="10" t="s">
        <v>28</v>
      </c>
      <c r="C257" s="11" t="s">
        <v>223</v>
      </c>
      <c r="D257" s="11" t="s">
        <v>245</v>
      </c>
      <c r="E257" s="11" t="s">
        <v>29</v>
      </c>
      <c r="F257" s="12">
        <v>57146.04</v>
      </c>
      <c r="G257" s="12">
        <f>17934.9+1340.26</f>
        <v>19275.16</v>
      </c>
      <c r="H257" s="12">
        <v>7217.9</v>
      </c>
    </row>
    <row r="258" spans="1:8" ht="36" x14ac:dyDescent="0.25">
      <c r="A258" s="19">
        <f t="shared" si="139"/>
        <v>247</v>
      </c>
      <c r="B258" s="10" t="s">
        <v>246</v>
      </c>
      <c r="C258" s="11" t="s">
        <v>223</v>
      </c>
      <c r="D258" s="11" t="s">
        <v>247</v>
      </c>
      <c r="E258" s="11"/>
      <c r="F258" s="12">
        <f>SUM(F259)</f>
        <v>700</v>
      </c>
      <c r="G258" s="12">
        <f t="shared" ref="G258:H258" si="147">SUM(G259)</f>
        <v>0</v>
      </c>
      <c r="H258" s="12">
        <f t="shared" si="147"/>
        <v>148</v>
      </c>
    </row>
    <row r="259" spans="1:8" ht="54" x14ac:dyDescent="0.25">
      <c r="A259" s="19">
        <f t="shared" si="139"/>
        <v>248</v>
      </c>
      <c r="B259" s="10" t="s">
        <v>28</v>
      </c>
      <c r="C259" s="11" t="s">
        <v>223</v>
      </c>
      <c r="D259" s="11" t="s">
        <v>247</v>
      </c>
      <c r="E259" s="11" t="s">
        <v>29</v>
      </c>
      <c r="F259" s="12">
        <f>800-100</f>
        <v>700</v>
      </c>
      <c r="G259" s="12">
        <v>0</v>
      </c>
      <c r="H259" s="12">
        <v>148</v>
      </c>
    </row>
    <row r="260" spans="1:8" ht="36" x14ac:dyDescent="0.25">
      <c r="A260" s="19">
        <f t="shared" si="139"/>
        <v>249</v>
      </c>
      <c r="B260" s="10" t="s">
        <v>248</v>
      </c>
      <c r="C260" s="11" t="s">
        <v>223</v>
      </c>
      <c r="D260" s="11" t="s">
        <v>249</v>
      </c>
      <c r="E260" s="11"/>
      <c r="F260" s="12">
        <f>SUM(F261)</f>
        <v>26752</v>
      </c>
      <c r="G260" s="12">
        <f t="shared" ref="G260:H260" si="148">SUM(G261)</f>
        <v>0</v>
      </c>
      <c r="H260" s="12">
        <f t="shared" si="148"/>
        <v>0</v>
      </c>
    </row>
    <row r="261" spans="1:8" ht="54" x14ac:dyDescent="0.25">
      <c r="A261" s="19">
        <f t="shared" si="139"/>
        <v>250</v>
      </c>
      <c r="B261" s="10" t="s">
        <v>28</v>
      </c>
      <c r="C261" s="11" t="s">
        <v>223</v>
      </c>
      <c r="D261" s="11" t="s">
        <v>249</v>
      </c>
      <c r="E261" s="11" t="s">
        <v>29</v>
      </c>
      <c r="F261" s="12">
        <v>26752</v>
      </c>
      <c r="G261" s="12">
        <v>0</v>
      </c>
      <c r="H261" s="12">
        <v>0</v>
      </c>
    </row>
    <row r="262" spans="1:8" ht="72" x14ac:dyDescent="0.25">
      <c r="A262" s="19">
        <f t="shared" si="139"/>
        <v>251</v>
      </c>
      <c r="B262" s="10" t="s">
        <v>250</v>
      </c>
      <c r="C262" s="11" t="s">
        <v>223</v>
      </c>
      <c r="D262" s="11" t="s">
        <v>251</v>
      </c>
      <c r="E262" s="11"/>
      <c r="F262" s="12">
        <f>SUM(F263)</f>
        <v>316</v>
      </c>
      <c r="G262" s="12">
        <f t="shared" ref="G262:H262" si="149">SUM(G263)</f>
        <v>200</v>
      </c>
      <c r="H262" s="12">
        <f t="shared" si="149"/>
        <v>200</v>
      </c>
    </row>
    <row r="263" spans="1:8" ht="54" x14ac:dyDescent="0.25">
      <c r="A263" s="19">
        <f t="shared" si="139"/>
        <v>252</v>
      </c>
      <c r="B263" s="10" t="s">
        <v>28</v>
      </c>
      <c r="C263" s="11" t="s">
        <v>223</v>
      </c>
      <c r="D263" s="11" t="s">
        <v>251</v>
      </c>
      <c r="E263" s="11" t="s">
        <v>29</v>
      </c>
      <c r="F263" s="12">
        <f>350-34</f>
        <v>316</v>
      </c>
      <c r="G263" s="12">
        <v>200</v>
      </c>
      <c r="H263" s="12">
        <v>200</v>
      </c>
    </row>
    <row r="264" spans="1:8" ht="72" x14ac:dyDescent="0.25">
      <c r="A264" s="19">
        <f t="shared" si="139"/>
        <v>253</v>
      </c>
      <c r="B264" s="10" t="s">
        <v>252</v>
      </c>
      <c r="C264" s="11" t="s">
        <v>223</v>
      </c>
      <c r="D264" s="11" t="s">
        <v>253</v>
      </c>
      <c r="E264" s="11"/>
      <c r="F264" s="12">
        <f>SUM(F265)</f>
        <v>23309</v>
      </c>
      <c r="G264" s="12">
        <f t="shared" ref="G264:H264" si="150">SUM(G265)</f>
        <v>0</v>
      </c>
      <c r="H264" s="12">
        <f t="shared" si="150"/>
        <v>0</v>
      </c>
    </row>
    <row r="265" spans="1:8" ht="54" x14ac:dyDescent="0.25">
      <c r="A265" s="19">
        <f t="shared" si="139"/>
        <v>254</v>
      </c>
      <c r="B265" s="10" t="s">
        <v>28</v>
      </c>
      <c r="C265" s="11" t="s">
        <v>223</v>
      </c>
      <c r="D265" s="11" t="s">
        <v>253</v>
      </c>
      <c r="E265" s="11" t="s">
        <v>29</v>
      </c>
      <c r="F265" s="12">
        <v>23309</v>
      </c>
      <c r="G265" s="12">
        <v>0</v>
      </c>
      <c r="H265" s="12">
        <v>0</v>
      </c>
    </row>
    <row r="266" spans="1:8" ht="72" x14ac:dyDescent="0.25">
      <c r="A266" s="19">
        <f t="shared" si="139"/>
        <v>255</v>
      </c>
      <c r="B266" s="10" t="s">
        <v>808</v>
      </c>
      <c r="C266" s="11" t="s">
        <v>223</v>
      </c>
      <c r="D266" s="24" t="s">
        <v>807</v>
      </c>
      <c r="E266" s="11"/>
      <c r="F266" s="12">
        <f>SUM(F267)</f>
        <v>600</v>
      </c>
      <c r="G266" s="12">
        <f t="shared" ref="G266:H266" si="151">SUM(G267)</f>
        <v>0</v>
      </c>
      <c r="H266" s="12">
        <f t="shared" si="151"/>
        <v>0</v>
      </c>
    </row>
    <row r="267" spans="1:8" ht="54" x14ac:dyDescent="0.25">
      <c r="A267" s="19">
        <f t="shared" si="139"/>
        <v>256</v>
      </c>
      <c r="B267" s="10" t="s">
        <v>28</v>
      </c>
      <c r="C267" s="11" t="s">
        <v>223</v>
      </c>
      <c r="D267" s="24" t="s">
        <v>807</v>
      </c>
      <c r="E267" s="11">
        <v>240</v>
      </c>
      <c r="F267" s="12">
        <v>600</v>
      </c>
      <c r="G267" s="12">
        <v>0</v>
      </c>
      <c r="H267" s="12">
        <v>0</v>
      </c>
    </row>
    <row r="268" spans="1:8" ht="36" x14ac:dyDescent="0.25">
      <c r="A268" s="19">
        <f t="shared" si="139"/>
        <v>257</v>
      </c>
      <c r="B268" s="10" t="s">
        <v>216</v>
      </c>
      <c r="C268" s="11" t="s">
        <v>223</v>
      </c>
      <c r="D268" s="11" t="s">
        <v>217</v>
      </c>
      <c r="E268" s="11"/>
      <c r="F268" s="12">
        <f>SUM(F269)</f>
        <v>600</v>
      </c>
      <c r="G268" s="12">
        <f t="shared" ref="G268:H268" si="152">SUM(G269)</f>
        <v>0</v>
      </c>
      <c r="H268" s="12">
        <f t="shared" si="152"/>
        <v>0</v>
      </c>
    </row>
    <row r="269" spans="1:8" ht="54" x14ac:dyDescent="0.25">
      <c r="A269" s="19">
        <f t="shared" si="139"/>
        <v>258</v>
      </c>
      <c r="B269" s="10" t="s">
        <v>254</v>
      </c>
      <c r="C269" s="11" t="s">
        <v>223</v>
      </c>
      <c r="D269" s="11" t="s">
        <v>255</v>
      </c>
      <c r="E269" s="11"/>
      <c r="F269" s="12">
        <f>SUM(F270)</f>
        <v>600</v>
      </c>
      <c r="G269" s="12">
        <f t="shared" ref="G269:H269" si="153">SUM(G270)</f>
        <v>0</v>
      </c>
      <c r="H269" s="12">
        <f t="shared" si="153"/>
        <v>0</v>
      </c>
    </row>
    <row r="270" spans="1:8" ht="54" x14ac:dyDescent="0.25">
      <c r="A270" s="19">
        <f t="shared" si="139"/>
        <v>259</v>
      </c>
      <c r="B270" s="10" t="s">
        <v>28</v>
      </c>
      <c r="C270" s="11" t="s">
        <v>223</v>
      </c>
      <c r="D270" s="11" t="s">
        <v>255</v>
      </c>
      <c r="E270" s="11" t="s">
        <v>29</v>
      </c>
      <c r="F270" s="12">
        <v>600</v>
      </c>
      <c r="G270" s="12">
        <v>0</v>
      </c>
      <c r="H270" s="12">
        <v>0</v>
      </c>
    </row>
    <row r="271" spans="1:8" x14ac:dyDescent="0.25">
      <c r="A271" s="18">
        <f t="shared" si="139"/>
        <v>260</v>
      </c>
      <c r="B271" s="14" t="s">
        <v>256</v>
      </c>
      <c r="C271" s="15" t="s">
        <v>257</v>
      </c>
      <c r="D271" s="15"/>
      <c r="E271" s="15"/>
      <c r="F271" s="16">
        <f>SUM(F272)</f>
        <v>1720</v>
      </c>
      <c r="G271" s="16">
        <f t="shared" ref="G271:H271" si="154">SUM(G272)</f>
        <v>2500</v>
      </c>
      <c r="H271" s="16">
        <f t="shared" si="154"/>
        <v>2500</v>
      </c>
    </row>
    <row r="272" spans="1:8" ht="54" x14ac:dyDescent="0.25">
      <c r="A272" s="19">
        <f t="shared" si="139"/>
        <v>261</v>
      </c>
      <c r="B272" s="10" t="s">
        <v>103</v>
      </c>
      <c r="C272" s="11" t="s">
        <v>257</v>
      </c>
      <c r="D272" s="11" t="s">
        <v>104</v>
      </c>
      <c r="E272" s="11"/>
      <c r="F272" s="12">
        <f>SUM(F273)</f>
        <v>1720</v>
      </c>
      <c r="G272" s="12">
        <f t="shared" ref="G272:H272" si="155">SUM(G273)</f>
        <v>2500</v>
      </c>
      <c r="H272" s="12">
        <f t="shared" si="155"/>
        <v>2500</v>
      </c>
    </row>
    <row r="273" spans="1:8" ht="36" x14ac:dyDescent="0.25">
      <c r="A273" s="19">
        <f t="shared" si="139"/>
        <v>262</v>
      </c>
      <c r="B273" s="10" t="s">
        <v>258</v>
      </c>
      <c r="C273" s="11" t="s">
        <v>257</v>
      </c>
      <c r="D273" s="11" t="s">
        <v>259</v>
      </c>
      <c r="E273" s="11"/>
      <c r="F273" s="12">
        <f>SUM(F274+F276)</f>
        <v>1720</v>
      </c>
      <c r="G273" s="12">
        <f t="shared" ref="G273:H273" si="156">SUM(G274+G276)</f>
        <v>2500</v>
      </c>
      <c r="H273" s="12">
        <f t="shared" si="156"/>
        <v>2500</v>
      </c>
    </row>
    <row r="274" spans="1:8" ht="54" x14ac:dyDescent="0.25">
      <c r="A274" s="19">
        <f t="shared" si="139"/>
        <v>263</v>
      </c>
      <c r="B274" s="10" t="s">
        <v>260</v>
      </c>
      <c r="C274" s="11" t="s">
        <v>257</v>
      </c>
      <c r="D274" s="11" t="s">
        <v>261</v>
      </c>
      <c r="E274" s="11"/>
      <c r="F274" s="12">
        <f>SUM(F275)</f>
        <v>447.5</v>
      </c>
      <c r="G274" s="12">
        <f t="shared" ref="G274:H274" si="157">SUM(G275)</f>
        <v>2000</v>
      </c>
      <c r="H274" s="12">
        <f t="shared" si="157"/>
        <v>2000</v>
      </c>
    </row>
    <row r="275" spans="1:8" ht="54" x14ac:dyDescent="0.25">
      <c r="A275" s="19">
        <f t="shared" si="139"/>
        <v>264</v>
      </c>
      <c r="B275" s="10" t="s">
        <v>28</v>
      </c>
      <c r="C275" s="11" t="s">
        <v>257</v>
      </c>
      <c r="D275" s="11" t="s">
        <v>261</v>
      </c>
      <c r="E275" s="11" t="s">
        <v>29</v>
      </c>
      <c r="F275" s="12">
        <f>1000-630+77.5</f>
        <v>447.5</v>
      </c>
      <c r="G275" s="12">
        <v>2000</v>
      </c>
      <c r="H275" s="12">
        <v>2000</v>
      </c>
    </row>
    <row r="276" spans="1:8" ht="54" x14ac:dyDescent="0.25">
      <c r="A276" s="19">
        <f t="shared" si="139"/>
        <v>265</v>
      </c>
      <c r="B276" s="10" t="s">
        <v>262</v>
      </c>
      <c r="C276" s="11" t="s">
        <v>257</v>
      </c>
      <c r="D276" s="11" t="s">
        <v>263</v>
      </c>
      <c r="E276" s="11"/>
      <c r="F276" s="12">
        <f>SUM(F277)</f>
        <v>1272.5</v>
      </c>
      <c r="G276" s="12">
        <f t="shared" ref="G276:H276" si="158">SUM(G277)</f>
        <v>500</v>
      </c>
      <c r="H276" s="12">
        <f t="shared" si="158"/>
        <v>500</v>
      </c>
    </row>
    <row r="277" spans="1:8" ht="54" x14ac:dyDescent="0.25">
      <c r="A277" s="19">
        <f t="shared" si="139"/>
        <v>266</v>
      </c>
      <c r="B277" s="10" t="s">
        <v>28</v>
      </c>
      <c r="C277" s="11" t="s">
        <v>257</v>
      </c>
      <c r="D277" s="11" t="s">
        <v>263</v>
      </c>
      <c r="E277" s="11" t="s">
        <v>29</v>
      </c>
      <c r="F277" s="12">
        <f>750+520-77.5+80</f>
        <v>1272.5</v>
      </c>
      <c r="G277" s="12">
        <v>500</v>
      </c>
      <c r="H277" s="12">
        <v>500</v>
      </c>
    </row>
    <row r="278" spans="1:8" ht="36" x14ac:dyDescent="0.25">
      <c r="A278" s="18">
        <f t="shared" si="139"/>
        <v>267</v>
      </c>
      <c r="B278" s="14" t="s">
        <v>264</v>
      </c>
      <c r="C278" s="15" t="s">
        <v>265</v>
      </c>
      <c r="D278" s="15"/>
      <c r="E278" s="15"/>
      <c r="F278" s="16">
        <f>SUM(F279+F285+F300+F306)</f>
        <v>8892.3700000000008</v>
      </c>
      <c r="G278" s="16">
        <f t="shared" ref="G278:H278" si="159">SUM(G279+G285+G300+G306)</f>
        <v>7084.76</v>
      </c>
      <c r="H278" s="16">
        <f t="shared" si="159"/>
        <v>7455.59</v>
      </c>
    </row>
    <row r="279" spans="1:8" ht="72" x14ac:dyDescent="0.25">
      <c r="A279" s="19">
        <f t="shared" si="139"/>
        <v>268</v>
      </c>
      <c r="B279" s="10" t="s">
        <v>266</v>
      </c>
      <c r="C279" s="11" t="s">
        <v>265</v>
      </c>
      <c r="D279" s="11" t="s">
        <v>267</v>
      </c>
      <c r="E279" s="11"/>
      <c r="F279" s="12">
        <f>SUM(F280)</f>
        <v>2472.5</v>
      </c>
      <c r="G279" s="12">
        <f t="shared" ref="G279:H279" si="160">SUM(G280)</f>
        <v>2500</v>
      </c>
      <c r="H279" s="12">
        <f t="shared" si="160"/>
        <v>2500</v>
      </c>
    </row>
    <row r="280" spans="1:8" ht="36" x14ac:dyDescent="0.25">
      <c r="A280" s="19">
        <f t="shared" si="139"/>
        <v>269</v>
      </c>
      <c r="B280" s="10" t="s">
        <v>268</v>
      </c>
      <c r="C280" s="11" t="s">
        <v>265</v>
      </c>
      <c r="D280" s="11" t="s">
        <v>269</v>
      </c>
      <c r="E280" s="11"/>
      <c r="F280" s="12">
        <f>SUM(F281+F283)</f>
        <v>2472.5</v>
      </c>
      <c r="G280" s="12">
        <f t="shared" ref="G280:H280" si="161">SUM(G281+G283)</f>
        <v>2500</v>
      </c>
      <c r="H280" s="12">
        <f t="shared" si="161"/>
        <v>2500</v>
      </c>
    </row>
    <row r="281" spans="1:8" ht="72" x14ac:dyDescent="0.25">
      <c r="A281" s="19">
        <f t="shared" si="139"/>
        <v>270</v>
      </c>
      <c r="B281" s="10" t="s">
        <v>270</v>
      </c>
      <c r="C281" s="11" t="s">
        <v>265</v>
      </c>
      <c r="D281" s="11" t="s">
        <v>271</v>
      </c>
      <c r="E281" s="11"/>
      <c r="F281" s="12">
        <f>SUM(F282)</f>
        <v>702.5</v>
      </c>
      <c r="G281" s="12">
        <f t="shared" ref="G281:H281" si="162">SUM(G282)</f>
        <v>2000</v>
      </c>
      <c r="H281" s="12">
        <f t="shared" si="162"/>
        <v>2000</v>
      </c>
    </row>
    <row r="282" spans="1:8" ht="54" x14ac:dyDescent="0.25">
      <c r="A282" s="19">
        <f t="shared" si="139"/>
        <v>271</v>
      </c>
      <c r="B282" s="10" t="s">
        <v>28</v>
      </c>
      <c r="C282" s="11" t="s">
        <v>265</v>
      </c>
      <c r="D282" s="11" t="s">
        <v>271</v>
      </c>
      <c r="E282" s="11" t="s">
        <v>29</v>
      </c>
      <c r="F282" s="12">
        <f>800-97.5</f>
        <v>702.5</v>
      </c>
      <c r="G282" s="12">
        <v>2000</v>
      </c>
      <c r="H282" s="12">
        <v>2000</v>
      </c>
    </row>
    <row r="283" spans="1:8" ht="90" x14ac:dyDescent="0.25">
      <c r="A283" s="19">
        <f t="shared" si="139"/>
        <v>272</v>
      </c>
      <c r="B283" s="10" t="s">
        <v>272</v>
      </c>
      <c r="C283" s="11" t="s">
        <v>265</v>
      </c>
      <c r="D283" s="11" t="s">
        <v>273</v>
      </c>
      <c r="E283" s="11"/>
      <c r="F283" s="12">
        <f>SUM(F284)</f>
        <v>1770</v>
      </c>
      <c r="G283" s="12">
        <f t="shared" ref="G283:H283" si="163">SUM(G284)</f>
        <v>500</v>
      </c>
      <c r="H283" s="12">
        <f t="shared" si="163"/>
        <v>500</v>
      </c>
    </row>
    <row r="284" spans="1:8" ht="54" x14ac:dyDescent="0.25">
      <c r="A284" s="19">
        <f t="shared" si="139"/>
        <v>273</v>
      </c>
      <c r="B284" s="10" t="s">
        <v>28</v>
      </c>
      <c r="C284" s="11" t="s">
        <v>265</v>
      </c>
      <c r="D284" s="11" t="s">
        <v>273</v>
      </c>
      <c r="E284" s="11" t="s">
        <v>29</v>
      </c>
      <c r="F284" s="12">
        <f>2200-430</f>
        <v>1770</v>
      </c>
      <c r="G284" s="12">
        <v>500</v>
      </c>
      <c r="H284" s="12">
        <v>500</v>
      </c>
    </row>
    <row r="285" spans="1:8" ht="108" x14ac:dyDescent="0.25">
      <c r="A285" s="19">
        <f t="shared" si="139"/>
        <v>274</v>
      </c>
      <c r="B285" s="10" t="s">
        <v>87</v>
      </c>
      <c r="C285" s="11" t="s">
        <v>265</v>
      </c>
      <c r="D285" s="11" t="s">
        <v>88</v>
      </c>
      <c r="E285" s="11"/>
      <c r="F285" s="12">
        <f>SUM(F286+F295)</f>
        <v>4555.1100000000006</v>
      </c>
      <c r="G285" s="12">
        <f t="shared" ref="G285:H285" si="164">SUM(G286+G295)</f>
        <v>2670</v>
      </c>
      <c r="H285" s="12">
        <f t="shared" si="164"/>
        <v>3170</v>
      </c>
    </row>
    <row r="286" spans="1:8" ht="144" x14ac:dyDescent="0.25">
      <c r="A286" s="19">
        <f t="shared" si="139"/>
        <v>275</v>
      </c>
      <c r="B286" s="10" t="s">
        <v>89</v>
      </c>
      <c r="C286" s="11" t="s">
        <v>265</v>
      </c>
      <c r="D286" s="11" t="s">
        <v>90</v>
      </c>
      <c r="E286" s="11"/>
      <c r="F286" s="12">
        <f>SUM(F287+F289+F291+F293)</f>
        <v>2227</v>
      </c>
      <c r="G286" s="12">
        <f t="shared" ref="G286:H286" si="165">SUM(G287+G289+G291+G293)</f>
        <v>1670</v>
      </c>
      <c r="H286" s="12">
        <f t="shared" si="165"/>
        <v>2170</v>
      </c>
    </row>
    <row r="287" spans="1:8" ht="126" x14ac:dyDescent="0.25">
      <c r="A287" s="19">
        <f t="shared" si="139"/>
        <v>276</v>
      </c>
      <c r="B287" s="10" t="s">
        <v>274</v>
      </c>
      <c r="C287" s="11" t="s">
        <v>265</v>
      </c>
      <c r="D287" s="11" t="s">
        <v>275</v>
      </c>
      <c r="E287" s="11"/>
      <c r="F287" s="12">
        <f>SUM(F288)</f>
        <v>920</v>
      </c>
      <c r="G287" s="12">
        <f t="shared" ref="G287:H287" si="166">SUM(G288)</f>
        <v>800</v>
      </c>
      <c r="H287" s="12">
        <f t="shared" si="166"/>
        <v>1300</v>
      </c>
    </row>
    <row r="288" spans="1:8" ht="54" x14ac:dyDescent="0.25">
      <c r="A288" s="19">
        <f t="shared" si="139"/>
        <v>277</v>
      </c>
      <c r="B288" s="10" t="s">
        <v>28</v>
      </c>
      <c r="C288" s="11" t="s">
        <v>265</v>
      </c>
      <c r="D288" s="11" t="s">
        <v>275</v>
      </c>
      <c r="E288" s="11" t="s">
        <v>29</v>
      </c>
      <c r="F288" s="12">
        <f>1300-300-80</f>
        <v>920</v>
      </c>
      <c r="G288" s="12">
        <f>1300-500</f>
        <v>800</v>
      </c>
      <c r="H288" s="12">
        <v>1300</v>
      </c>
    </row>
    <row r="289" spans="1:8" ht="108" x14ac:dyDescent="0.25">
      <c r="A289" s="19">
        <f t="shared" si="139"/>
        <v>278</v>
      </c>
      <c r="B289" s="10" t="s">
        <v>276</v>
      </c>
      <c r="C289" s="11" t="s">
        <v>265</v>
      </c>
      <c r="D289" s="11" t="s">
        <v>277</v>
      </c>
      <c r="E289" s="11"/>
      <c r="F289" s="12">
        <f>SUM(F290)</f>
        <v>737</v>
      </c>
      <c r="G289" s="12">
        <f t="shared" ref="G289:H289" si="167">SUM(G290)</f>
        <v>300</v>
      </c>
      <c r="H289" s="12">
        <f t="shared" si="167"/>
        <v>300</v>
      </c>
    </row>
    <row r="290" spans="1:8" ht="54" x14ac:dyDescent="0.25">
      <c r="A290" s="19">
        <f t="shared" si="139"/>
        <v>279</v>
      </c>
      <c r="B290" s="10" t="s">
        <v>28</v>
      </c>
      <c r="C290" s="11" t="s">
        <v>265</v>
      </c>
      <c r="D290" s="11" t="s">
        <v>277</v>
      </c>
      <c r="E290" s="11" t="s">
        <v>29</v>
      </c>
      <c r="F290" s="12">
        <f>717+20</f>
        <v>737</v>
      </c>
      <c r="G290" s="12">
        <v>300</v>
      </c>
      <c r="H290" s="12">
        <v>300</v>
      </c>
    </row>
    <row r="291" spans="1:8" ht="90" x14ac:dyDescent="0.25">
      <c r="A291" s="19">
        <f t="shared" si="139"/>
        <v>280</v>
      </c>
      <c r="B291" s="10" t="s">
        <v>278</v>
      </c>
      <c r="C291" s="11" t="s">
        <v>265</v>
      </c>
      <c r="D291" s="11" t="s">
        <v>279</v>
      </c>
      <c r="E291" s="11"/>
      <c r="F291" s="12">
        <f>SUM(F292)</f>
        <v>380</v>
      </c>
      <c r="G291" s="12">
        <f t="shared" ref="G291:H291" si="168">SUM(G292)</f>
        <v>380</v>
      </c>
      <c r="H291" s="12">
        <f t="shared" si="168"/>
        <v>380</v>
      </c>
    </row>
    <row r="292" spans="1:8" ht="36" x14ac:dyDescent="0.25">
      <c r="A292" s="19">
        <f t="shared" si="139"/>
        <v>281</v>
      </c>
      <c r="B292" s="10" t="s">
        <v>40</v>
      </c>
      <c r="C292" s="11" t="s">
        <v>265</v>
      </c>
      <c r="D292" s="11" t="s">
        <v>279</v>
      </c>
      <c r="E292" s="11" t="s">
        <v>41</v>
      </c>
      <c r="F292" s="12">
        <v>380</v>
      </c>
      <c r="G292" s="12">
        <v>380</v>
      </c>
      <c r="H292" s="12">
        <v>380</v>
      </c>
    </row>
    <row r="293" spans="1:8" ht="126" x14ac:dyDescent="0.25">
      <c r="A293" s="19">
        <f t="shared" si="139"/>
        <v>282</v>
      </c>
      <c r="B293" s="10" t="s">
        <v>280</v>
      </c>
      <c r="C293" s="11" t="s">
        <v>265</v>
      </c>
      <c r="D293" s="11" t="s">
        <v>281</v>
      </c>
      <c r="E293" s="11"/>
      <c r="F293" s="12">
        <f>SUM(F294)</f>
        <v>190</v>
      </c>
      <c r="G293" s="12">
        <f t="shared" ref="G293:H293" si="169">SUM(G294)</f>
        <v>190</v>
      </c>
      <c r="H293" s="12">
        <f t="shared" si="169"/>
        <v>190</v>
      </c>
    </row>
    <row r="294" spans="1:8" ht="54" x14ac:dyDescent="0.25">
      <c r="A294" s="19">
        <f t="shared" si="139"/>
        <v>283</v>
      </c>
      <c r="B294" s="10" t="s">
        <v>28</v>
      </c>
      <c r="C294" s="11" t="s">
        <v>265</v>
      </c>
      <c r="D294" s="11" t="s">
        <v>281</v>
      </c>
      <c r="E294" s="11" t="s">
        <v>29</v>
      </c>
      <c r="F294" s="12">
        <v>190</v>
      </c>
      <c r="G294" s="12">
        <v>190</v>
      </c>
      <c r="H294" s="12">
        <v>190</v>
      </c>
    </row>
    <row r="295" spans="1:8" ht="72" x14ac:dyDescent="0.25">
      <c r="A295" s="19">
        <f t="shared" si="139"/>
        <v>284</v>
      </c>
      <c r="B295" s="10" t="s">
        <v>282</v>
      </c>
      <c r="C295" s="11" t="s">
        <v>265</v>
      </c>
      <c r="D295" s="11" t="s">
        <v>283</v>
      </c>
      <c r="E295" s="11"/>
      <c r="F295" s="12">
        <f>SUM(F296+F298)</f>
        <v>2328.11</v>
      </c>
      <c r="G295" s="12">
        <f t="shared" ref="G295:H295" si="170">SUM(G296+G298)</f>
        <v>1000</v>
      </c>
      <c r="H295" s="12">
        <f t="shared" si="170"/>
        <v>1000</v>
      </c>
    </row>
    <row r="296" spans="1:8" ht="162" x14ac:dyDescent="0.25">
      <c r="A296" s="19">
        <f t="shared" si="139"/>
        <v>285</v>
      </c>
      <c r="B296" s="10" t="s">
        <v>284</v>
      </c>
      <c r="C296" s="11" t="s">
        <v>265</v>
      </c>
      <c r="D296" s="11" t="s">
        <v>285</v>
      </c>
      <c r="E296" s="11"/>
      <c r="F296" s="12">
        <f>SUM(F297)</f>
        <v>2090.61</v>
      </c>
      <c r="G296" s="12">
        <f t="shared" ref="G296:H296" si="171">SUM(G297)</f>
        <v>1000</v>
      </c>
      <c r="H296" s="12">
        <f t="shared" si="171"/>
        <v>1000</v>
      </c>
    </row>
    <row r="297" spans="1:8" ht="54" x14ac:dyDescent="0.25">
      <c r="A297" s="19">
        <f t="shared" si="139"/>
        <v>286</v>
      </c>
      <c r="B297" s="10" t="s">
        <v>28</v>
      </c>
      <c r="C297" s="11" t="s">
        <v>265</v>
      </c>
      <c r="D297" s="11" t="s">
        <v>285</v>
      </c>
      <c r="E297" s="11" t="s">
        <v>29</v>
      </c>
      <c r="F297" s="12">
        <f>2190.61-100</f>
        <v>2090.61</v>
      </c>
      <c r="G297" s="12">
        <v>1000</v>
      </c>
      <c r="H297" s="12">
        <v>1000</v>
      </c>
    </row>
    <row r="298" spans="1:8" ht="36" x14ac:dyDescent="0.25">
      <c r="A298" s="19">
        <f t="shared" si="139"/>
        <v>287</v>
      </c>
      <c r="B298" s="10" t="s">
        <v>286</v>
      </c>
      <c r="C298" s="11" t="s">
        <v>265</v>
      </c>
      <c r="D298" s="11" t="s">
        <v>287</v>
      </c>
      <c r="E298" s="11"/>
      <c r="F298" s="12">
        <f>SUM(F299)</f>
        <v>237.5</v>
      </c>
      <c r="G298" s="12">
        <f t="shared" ref="G298:H298" si="172">SUM(G299)</f>
        <v>0</v>
      </c>
      <c r="H298" s="12">
        <f t="shared" si="172"/>
        <v>0</v>
      </c>
    </row>
    <row r="299" spans="1:8" ht="54" x14ac:dyDescent="0.25">
      <c r="A299" s="19">
        <f t="shared" si="139"/>
        <v>288</v>
      </c>
      <c r="B299" s="10" t="s">
        <v>28</v>
      </c>
      <c r="C299" s="11" t="s">
        <v>265</v>
      </c>
      <c r="D299" s="11" t="s">
        <v>287</v>
      </c>
      <c r="E299" s="11" t="s">
        <v>29</v>
      </c>
      <c r="F299" s="12">
        <f>500-262.5</f>
        <v>237.5</v>
      </c>
      <c r="G299" s="12">
        <v>0</v>
      </c>
      <c r="H299" s="12">
        <v>0</v>
      </c>
    </row>
    <row r="300" spans="1:8" ht="54" x14ac:dyDescent="0.25">
      <c r="A300" s="19">
        <f t="shared" si="139"/>
        <v>289</v>
      </c>
      <c r="B300" s="10" t="s">
        <v>288</v>
      </c>
      <c r="C300" s="11" t="s">
        <v>265</v>
      </c>
      <c r="D300" s="11" t="s">
        <v>289</v>
      </c>
      <c r="E300" s="11"/>
      <c r="F300" s="12">
        <f>SUM(F301)</f>
        <v>288.26</v>
      </c>
      <c r="G300" s="12">
        <f t="shared" ref="G300:H300" si="173">SUM(G301)</f>
        <v>258.26</v>
      </c>
      <c r="H300" s="12">
        <f t="shared" si="173"/>
        <v>119.09</v>
      </c>
    </row>
    <row r="301" spans="1:8" ht="54" x14ac:dyDescent="0.25">
      <c r="A301" s="19">
        <f t="shared" si="139"/>
        <v>290</v>
      </c>
      <c r="B301" s="10" t="s">
        <v>290</v>
      </c>
      <c r="C301" s="11" t="s">
        <v>265</v>
      </c>
      <c r="D301" s="11" t="s">
        <v>291</v>
      </c>
      <c r="E301" s="11"/>
      <c r="F301" s="12">
        <f>SUM(F302+F304)</f>
        <v>288.26</v>
      </c>
      <c r="G301" s="12">
        <f t="shared" ref="G301:H301" si="174">SUM(G302+G304)</f>
        <v>258.26</v>
      </c>
      <c r="H301" s="12">
        <f t="shared" si="174"/>
        <v>119.09</v>
      </c>
    </row>
    <row r="302" spans="1:8" ht="54" x14ac:dyDescent="0.25">
      <c r="A302" s="19">
        <f t="shared" si="139"/>
        <v>291</v>
      </c>
      <c r="B302" s="10" t="s">
        <v>292</v>
      </c>
      <c r="C302" s="11" t="s">
        <v>265</v>
      </c>
      <c r="D302" s="11" t="s">
        <v>293</v>
      </c>
      <c r="E302" s="11"/>
      <c r="F302" s="12">
        <f>SUM(F303)</f>
        <v>108.26</v>
      </c>
      <c r="G302" s="12">
        <f t="shared" ref="G302:H302" si="175">SUM(G303)</f>
        <v>108.26</v>
      </c>
      <c r="H302" s="12">
        <f t="shared" si="175"/>
        <v>108.26</v>
      </c>
    </row>
    <row r="303" spans="1:8" ht="54" x14ac:dyDescent="0.25">
      <c r="A303" s="19">
        <f t="shared" si="139"/>
        <v>292</v>
      </c>
      <c r="B303" s="10" t="s">
        <v>28</v>
      </c>
      <c r="C303" s="11" t="s">
        <v>265</v>
      </c>
      <c r="D303" s="11" t="s">
        <v>293</v>
      </c>
      <c r="E303" s="11" t="s">
        <v>29</v>
      </c>
      <c r="F303" s="12">
        <v>108.26</v>
      </c>
      <c r="G303" s="12">
        <v>108.26</v>
      </c>
      <c r="H303" s="12">
        <v>108.26</v>
      </c>
    </row>
    <row r="304" spans="1:8" ht="90" x14ac:dyDescent="0.25">
      <c r="A304" s="19">
        <f t="shared" si="139"/>
        <v>293</v>
      </c>
      <c r="B304" s="10" t="s">
        <v>294</v>
      </c>
      <c r="C304" s="11" t="s">
        <v>265</v>
      </c>
      <c r="D304" s="11" t="s">
        <v>295</v>
      </c>
      <c r="E304" s="11"/>
      <c r="F304" s="12">
        <f>SUM(F305)</f>
        <v>180</v>
      </c>
      <c r="G304" s="12">
        <f t="shared" ref="G304:H304" si="176">SUM(G305)</f>
        <v>150</v>
      </c>
      <c r="H304" s="12">
        <f t="shared" si="176"/>
        <v>10.83</v>
      </c>
    </row>
    <row r="305" spans="1:8" ht="54" x14ac:dyDescent="0.25">
      <c r="A305" s="19">
        <f t="shared" si="139"/>
        <v>294</v>
      </c>
      <c r="B305" s="10" t="s">
        <v>28</v>
      </c>
      <c r="C305" s="11" t="s">
        <v>265</v>
      </c>
      <c r="D305" s="11" t="s">
        <v>295</v>
      </c>
      <c r="E305" s="11" t="s">
        <v>29</v>
      </c>
      <c r="F305" s="12">
        <v>180</v>
      </c>
      <c r="G305" s="12">
        <v>150</v>
      </c>
      <c r="H305" s="12">
        <v>10.83</v>
      </c>
    </row>
    <row r="306" spans="1:8" ht="72" x14ac:dyDescent="0.25">
      <c r="A306" s="19">
        <f t="shared" si="139"/>
        <v>295</v>
      </c>
      <c r="B306" s="10" t="s">
        <v>198</v>
      </c>
      <c r="C306" s="11" t="s">
        <v>265</v>
      </c>
      <c r="D306" s="11" t="s">
        <v>199</v>
      </c>
      <c r="E306" s="11"/>
      <c r="F306" s="12">
        <f>SUM(F307+F312+F315)</f>
        <v>1576.5</v>
      </c>
      <c r="G306" s="12">
        <f t="shared" ref="G306:H306" si="177">SUM(G307+G312+G315)</f>
        <v>1656.5</v>
      </c>
      <c r="H306" s="12">
        <f t="shared" si="177"/>
        <v>1666.5</v>
      </c>
    </row>
    <row r="307" spans="1:8" ht="72" x14ac:dyDescent="0.25">
      <c r="A307" s="19">
        <f t="shared" si="139"/>
        <v>296</v>
      </c>
      <c r="B307" s="10" t="s">
        <v>296</v>
      </c>
      <c r="C307" s="11" t="s">
        <v>265</v>
      </c>
      <c r="D307" s="11" t="s">
        <v>297</v>
      </c>
      <c r="E307" s="11"/>
      <c r="F307" s="12">
        <f>SUM(F308+F310)</f>
        <v>1076.5</v>
      </c>
      <c r="G307" s="12">
        <f t="shared" ref="G307:H307" si="178">SUM(G308+G310)</f>
        <v>1076.5</v>
      </c>
      <c r="H307" s="12">
        <f t="shared" si="178"/>
        <v>1076.5</v>
      </c>
    </row>
    <row r="308" spans="1:8" ht="54" x14ac:dyDescent="0.25">
      <c r="A308" s="19">
        <f t="shared" si="139"/>
        <v>297</v>
      </c>
      <c r="B308" s="10" t="s">
        <v>298</v>
      </c>
      <c r="C308" s="11" t="s">
        <v>265</v>
      </c>
      <c r="D308" s="11" t="s">
        <v>299</v>
      </c>
      <c r="E308" s="11"/>
      <c r="F308" s="12">
        <f>SUM(F309)</f>
        <v>556.5</v>
      </c>
      <c r="G308" s="12">
        <f t="shared" ref="G308:H308" si="179">SUM(G309)</f>
        <v>556.5</v>
      </c>
      <c r="H308" s="12">
        <f t="shared" si="179"/>
        <v>556.5</v>
      </c>
    </row>
    <row r="309" spans="1:8" ht="90" x14ac:dyDescent="0.25">
      <c r="A309" s="19">
        <f t="shared" ref="A309:A383" si="180">SUM(A308+1)</f>
        <v>298</v>
      </c>
      <c r="B309" s="10" t="s">
        <v>149</v>
      </c>
      <c r="C309" s="11" t="s">
        <v>265</v>
      </c>
      <c r="D309" s="11" t="s">
        <v>299</v>
      </c>
      <c r="E309" s="11" t="s">
        <v>150</v>
      </c>
      <c r="F309" s="12">
        <v>556.5</v>
      </c>
      <c r="G309" s="12">
        <v>556.5</v>
      </c>
      <c r="H309" s="12">
        <v>556.5</v>
      </c>
    </row>
    <row r="310" spans="1:8" ht="90" x14ac:dyDescent="0.25">
      <c r="A310" s="19">
        <f t="shared" si="180"/>
        <v>299</v>
      </c>
      <c r="B310" s="10" t="s">
        <v>300</v>
      </c>
      <c r="C310" s="11" t="s">
        <v>265</v>
      </c>
      <c r="D310" s="11" t="s">
        <v>301</v>
      </c>
      <c r="E310" s="11"/>
      <c r="F310" s="12">
        <f>SUM(F311)</f>
        <v>520</v>
      </c>
      <c r="G310" s="12">
        <f t="shared" ref="G310:H310" si="181">SUM(G311)</f>
        <v>520</v>
      </c>
      <c r="H310" s="12">
        <f t="shared" si="181"/>
        <v>520</v>
      </c>
    </row>
    <row r="311" spans="1:8" ht="90" x14ac:dyDescent="0.25">
      <c r="A311" s="19">
        <f t="shared" si="180"/>
        <v>300</v>
      </c>
      <c r="B311" s="10" t="s">
        <v>302</v>
      </c>
      <c r="C311" s="11" t="s">
        <v>265</v>
      </c>
      <c r="D311" s="11" t="s">
        <v>301</v>
      </c>
      <c r="E311" s="11" t="s">
        <v>303</v>
      </c>
      <c r="F311" s="12">
        <v>520</v>
      </c>
      <c r="G311" s="12">
        <v>520</v>
      </c>
      <c r="H311" s="12">
        <v>520</v>
      </c>
    </row>
    <row r="312" spans="1:8" ht="72" x14ac:dyDescent="0.25">
      <c r="A312" s="19">
        <f t="shared" si="180"/>
        <v>301</v>
      </c>
      <c r="B312" s="10" t="s">
        <v>200</v>
      </c>
      <c r="C312" s="11" t="s">
        <v>265</v>
      </c>
      <c r="D312" s="11" t="s">
        <v>201</v>
      </c>
      <c r="E312" s="11"/>
      <c r="F312" s="12">
        <f>SUM(F313)</f>
        <v>500</v>
      </c>
      <c r="G312" s="12">
        <f t="shared" ref="G312:H312" si="182">SUM(G313)</f>
        <v>500</v>
      </c>
      <c r="H312" s="12">
        <f t="shared" si="182"/>
        <v>500</v>
      </c>
    </row>
    <row r="313" spans="1:8" ht="108" x14ac:dyDescent="0.25">
      <c r="A313" s="19">
        <f t="shared" si="180"/>
        <v>302</v>
      </c>
      <c r="B313" s="10" t="s">
        <v>304</v>
      </c>
      <c r="C313" s="11" t="s">
        <v>265</v>
      </c>
      <c r="D313" s="11" t="s">
        <v>305</v>
      </c>
      <c r="E313" s="11"/>
      <c r="F313" s="12">
        <f>SUM(F314)</f>
        <v>500</v>
      </c>
      <c r="G313" s="12">
        <f t="shared" ref="G313:H313" si="183">SUM(G314)</f>
        <v>500</v>
      </c>
      <c r="H313" s="12">
        <f t="shared" si="183"/>
        <v>500</v>
      </c>
    </row>
    <row r="314" spans="1:8" ht="90" x14ac:dyDescent="0.25">
      <c r="A314" s="19">
        <f t="shared" si="180"/>
        <v>303</v>
      </c>
      <c r="B314" s="10" t="s">
        <v>149</v>
      </c>
      <c r="C314" s="11" t="s">
        <v>265</v>
      </c>
      <c r="D314" s="11" t="s">
        <v>305</v>
      </c>
      <c r="E314" s="11" t="s">
        <v>150</v>
      </c>
      <c r="F314" s="12">
        <v>500</v>
      </c>
      <c r="G314" s="12">
        <v>500</v>
      </c>
      <c r="H314" s="12">
        <v>500</v>
      </c>
    </row>
    <row r="315" spans="1:8" ht="72" x14ac:dyDescent="0.25">
      <c r="A315" s="19">
        <f t="shared" si="180"/>
        <v>304</v>
      </c>
      <c r="B315" s="10" t="s">
        <v>754</v>
      </c>
      <c r="C315" s="11" t="s">
        <v>265</v>
      </c>
      <c r="D315" s="11" t="s">
        <v>306</v>
      </c>
      <c r="E315" s="11"/>
      <c r="F315" s="12">
        <f>SUM(F316)</f>
        <v>0</v>
      </c>
      <c r="G315" s="12">
        <f t="shared" ref="G315:H315" si="184">SUM(G316)</f>
        <v>80</v>
      </c>
      <c r="H315" s="12">
        <f t="shared" si="184"/>
        <v>90</v>
      </c>
    </row>
    <row r="316" spans="1:8" ht="54" x14ac:dyDescent="0.25">
      <c r="A316" s="19">
        <f t="shared" si="180"/>
        <v>305</v>
      </c>
      <c r="B316" s="10" t="s">
        <v>307</v>
      </c>
      <c r="C316" s="11" t="s">
        <v>265</v>
      </c>
      <c r="D316" s="11" t="s">
        <v>308</v>
      </c>
      <c r="E316" s="11"/>
      <c r="F316" s="12">
        <f>SUM(F317)</f>
        <v>0</v>
      </c>
      <c r="G316" s="12">
        <f t="shared" ref="G316:H316" si="185">SUM(G317)</f>
        <v>80</v>
      </c>
      <c r="H316" s="12">
        <f t="shared" si="185"/>
        <v>90</v>
      </c>
    </row>
    <row r="317" spans="1:8" x14ac:dyDescent="0.25">
      <c r="A317" s="19">
        <f t="shared" si="180"/>
        <v>306</v>
      </c>
      <c r="B317" s="10" t="s">
        <v>143</v>
      </c>
      <c r="C317" s="11" t="s">
        <v>265</v>
      </c>
      <c r="D317" s="11" t="s">
        <v>308</v>
      </c>
      <c r="E317" s="11" t="s">
        <v>144</v>
      </c>
      <c r="F317" s="12">
        <f>70-70</f>
        <v>0</v>
      </c>
      <c r="G317" s="12">
        <v>80</v>
      </c>
      <c r="H317" s="12">
        <v>90</v>
      </c>
    </row>
    <row r="318" spans="1:8" ht="36" x14ac:dyDescent="0.25">
      <c r="A318" s="18">
        <f t="shared" si="180"/>
        <v>307</v>
      </c>
      <c r="B318" s="14" t="s">
        <v>309</v>
      </c>
      <c r="C318" s="15" t="s">
        <v>310</v>
      </c>
      <c r="D318" s="15"/>
      <c r="E318" s="15"/>
      <c r="F318" s="16">
        <f>SUM(F319+F349+F417+F464)</f>
        <v>625363.84000000008</v>
      </c>
      <c r="G318" s="16">
        <f t="shared" ref="G318:H318" si="186">SUM(G319+G349+G417+G464)</f>
        <v>471568.43</v>
      </c>
      <c r="H318" s="16">
        <f t="shared" si="186"/>
        <v>337756.15999999997</v>
      </c>
    </row>
    <row r="319" spans="1:8" x14ac:dyDescent="0.25">
      <c r="A319" s="18">
        <f t="shared" si="180"/>
        <v>308</v>
      </c>
      <c r="B319" s="14" t="s">
        <v>311</v>
      </c>
      <c r="C319" s="15" t="s">
        <v>312</v>
      </c>
      <c r="D319" s="15"/>
      <c r="E319" s="15"/>
      <c r="F319" s="16">
        <f>SUM(F320+F337)</f>
        <v>194959.95</v>
      </c>
      <c r="G319" s="16">
        <v>9422</v>
      </c>
      <c r="H319" s="16">
        <v>9597.5</v>
      </c>
    </row>
    <row r="320" spans="1:8" ht="72" x14ac:dyDescent="0.25">
      <c r="A320" s="19">
        <f t="shared" si="180"/>
        <v>309</v>
      </c>
      <c r="B320" s="10" t="s">
        <v>266</v>
      </c>
      <c r="C320" s="11" t="s">
        <v>312</v>
      </c>
      <c r="D320" s="11" t="s">
        <v>267</v>
      </c>
      <c r="E320" s="11"/>
      <c r="F320" s="12">
        <f>SUM(F321)</f>
        <v>163691.15000000002</v>
      </c>
      <c r="G320" s="12">
        <f t="shared" ref="G320:H320" si="187">SUM(G321)</f>
        <v>1260</v>
      </c>
      <c r="H320" s="12">
        <f t="shared" si="187"/>
        <v>1435.5</v>
      </c>
    </row>
    <row r="321" spans="1:8" ht="54" x14ac:dyDescent="0.25">
      <c r="A321" s="19">
        <f t="shared" si="180"/>
        <v>310</v>
      </c>
      <c r="B321" s="10" t="s">
        <v>313</v>
      </c>
      <c r="C321" s="11" t="s">
        <v>312</v>
      </c>
      <c r="D321" s="11" t="s">
        <v>314</v>
      </c>
      <c r="E321" s="11"/>
      <c r="F321" s="12">
        <f>SUM(F322+F324+F333+F327+F330)</f>
        <v>163691.15000000002</v>
      </c>
      <c r="G321" s="12">
        <f t="shared" ref="G321:H321" si="188">SUM(G322+G324+G333+G327+G330)</f>
        <v>1260</v>
      </c>
      <c r="H321" s="12">
        <f t="shared" si="188"/>
        <v>1435.5</v>
      </c>
    </row>
    <row r="322" spans="1:8" x14ac:dyDescent="0.25">
      <c r="A322" s="19">
        <f t="shared" si="180"/>
        <v>311</v>
      </c>
      <c r="B322" s="10" t="s">
        <v>315</v>
      </c>
      <c r="C322" s="11" t="s">
        <v>312</v>
      </c>
      <c r="D322" s="11" t="s">
        <v>316</v>
      </c>
      <c r="E322" s="11"/>
      <c r="F322" s="12">
        <f>SUM(F323)</f>
        <v>4996.8999999999996</v>
      </c>
      <c r="G322" s="12">
        <f t="shared" ref="G322:H322" si="189">SUM(G323)</f>
        <v>0</v>
      </c>
      <c r="H322" s="12">
        <f t="shared" si="189"/>
        <v>0</v>
      </c>
    </row>
    <row r="323" spans="1:8" ht="54" x14ac:dyDescent="0.25">
      <c r="A323" s="19">
        <f t="shared" si="180"/>
        <v>312</v>
      </c>
      <c r="B323" s="10" t="s">
        <v>28</v>
      </c>
      <c r="C323" s="11" t="s">
        <v>312</v>
      </c>
      <c r="D323" s="11" t="s">
        <v>316</v>
      </c>
      <c r="E323" s="11" t="s">
        <v>29</v>
      </c>
      <c r="F323" s="12">
        <v>4996.8999999999996</v>
      </c>
      <c r="G323" s="12">
        <v>0</v>
      </c>
      <c r="H323" s="12">
        <v>0</v>
      </c>
    </row>
    <row r="324" spans="1:8" ht="72" x14ac:dyDescent="0.25">
      <c r="A324" s="19">
        <f t="shared" si="180"/>
        <v>313</v>
      </c>
      <c r="B324" s="10" t="s">
        <v>317</v>
      </c>
      <c r="C324" s="11" t="s">
        <v>312</v>
      </c>
      <c r="D324" s="11" t="s">
        <v>318</v>
      </c>
      <c r="E324" s="11"/>
      <c r="F324" s="12">
        <f>SUM(F325:F326)</f>
        <v>66967</v>
      </c>
      <c r="G324" s="12">
        <f t="shared" ref="G324:H324" si="190">SUM(G325:G326)</f>
        <v>1260</v>
      </c>
      <c r="H324" s="12">
        <f t="shared" si="190"/>
        <v>1435.5</v>
      </c>
    </row>
    <row r="325" spans="1:8" x14ac:dyDescent="0.25">
      <c r="A325" s="19">
        <f t="shared" si="180"/>
        <v>314</v>
      </c>
      <c r="B325" s="10" t="s">
        <v>319</v>
      </c>
      <c r="C325" s="11" t="s">
        <v>312</v>
      </c>
      <c r="D325" s="11" t="s">
        <v>318</v>
      </c>
      <c r="E325" s="11" t="s">
        <v>320</v>
      </c>
      <c r="F325" s="12">
        <f>62225-6245.91</f>
        <v>55979.09</v>
      </c>
      <c r="G325" s="12">
        <v>1260</v>
      </c>
      <c r="H325" s="12">
        <v>1435.5</v>
      </c>
    </row>
    <row r="326" spans="1:8" ht="36" x14ac:dyDescent="0.25">
      <c r="A326" s="19">
        <f t="shared" si="180"/>
        <v>315</v>
      </c>
      <c r="B326" s="10" t="s">
        <v>40</v>
      </c>
      <c r="C326" s="11" t="s">
        <v>312</v>
      </c>
      <c r="D326" s="11" t="s">
        <v>318</v>
      </c>
      <c r="E326" s="11" t="s">
        <v>41</v>
      </c>
      <c r="F326" s="12">
        <f>7945.91+3042</f>
        <v>10987.91</v>
      </c>
      <c r="G326" s="12">
        <v>0</v>
      </c>
      <c r="H326" s="12">
        <v>0</v>
      </c>
    </row>
    <row r="327" spans="1:8" ht="72" x14ac:dyDescent="0.25">
      <c r="A327" s="19">
        <f t="shared" si="180"/>
        <v>316</v>
      </c>
      <c r="B327" s="10" t="s">
        <v>797</v>
      </c>
      <c r="C327" s="11" t="s">
        <v>312</v>
      </c>
      <c r="D327" s="11" t="s">
        <v>796</v>
      </c>
      <c r="E327" s="11"/>
      <c r="F327" s="12">
        <f>SUM(F328:F329)</f>
        <v>88028.23000000001</v>
      </c>
      <c r="G327" s="12">
        <f t="shared" ref="G327:H327" si="191">SUM(G328:G329)</f>
        <v>0</v>
      </c>
      <c r="H327" s="12">
        <f t="shared" si="191"/>
        <v>0</v>
      </c>
    </row>
    <row r="328" spans="1:8" x14ac:dyDescent="0.25">
      <c r="A328" s="19">
        <f t="shared" si="180"/>
        <v>317</v>
      </c>
      <c r="B328" s="10" t="s">
        <v>319</v>
      </c>
      <c r="C328" s="11" t="s">
        <v>312</v>
      </c>
      <c r="D328" s="11" t="s">
        <v>796</v>
      </c>
      <c r="E328" s="11">
        <v>410</v>
      </c>
      <c r="F328" s="12">
        <f>41674.48+26353.75</f>
        <v>68028.23000000001</v>
      </c>
      <c r="G328" s="12">
        <v>0</v>
      </c>
      <c r="H328" s="12">
        <v>0</v>
      </c>
    </row>
    <row r="329" spans="1:8" ht="36" x14ac:dyDescent="0.25">
      <c r="A329" s="19">
        <f t="shared" si="180"/>
        <v>318</v>
      </c>
      <c r="B329" s="10" t="s">
        <v>40</v>
      </c>
      <c r="C329" s="11" t="s">
        <v>312</v>
      </c>
      <c r="D329" s="11" t="s">
        <v>796</v>
      </c>
      <c r="E329" s="11">
        <v>850</v>
      </c>
      <c r="F329" s="12">
        <v>20000</v>
      </c>
      <c r="G329" s="12">
        <v>0</v>
      </c>
      <c r="H329" s="12">
        <v>0</v>
      </c>
    </row>
    <row r="330" spans="1:8" ht="36" x14ac:dyDescent="0.25">
      <c r="A330" s="19">
        <f t="shared" si="180"/>
        <v>319</v>
      </c>
      <c r="B330" s="10" t="s">
        <v>321</v>
      </c>
      <c r="C330" s="11" t="s">
        <v>312</v>
      </c>
      <c r="D330" s="24" t="s">
        <v>809</v>
      </c>
      <c r="E330" s="11"/>
      <c r="F330" s="12">
        <f>SUM(F331:F332)</f>
        <v>2708.42</v>
      </c>
      <c r="G330" s="12">
        <f t="shared" ref="G330:H330" si="192">SUM(G331:G332)</f>
        <v>0</v>
      </c>
      <c r="H330" s="12">
        <f t="shared" si="192"/>
        <v>0</v>
      </c>
    </row>
    <row r="331" spans="1:8" x14ac:dyDescent="0.25">
      <c r="A331" s="19">
        <f t="shared" si="180"/>
        <v>320</v>
      </c>
      <c r="B331" s="10" t="s">
        <v>319</v>
      </c>
      <c r="C331" s="11" t="s">
        <v>312</v>
      </c>
      <c r="D331" s="24" t="s">
        <v>809</v>
      </c>
      <c r="E331" s="11">
        <v>410</v>
      </c>
      <c r="F331" s="12">
        <f>27489.99-25479.15</f>
        <v>2010.8400000000001</v>
      </c>
      <c r="G331" s="12">
        <v>0</v>
      </c>
      <c r="H331" s="12">
        <v>0</v>
      </c>
    </row>
    <row r="332" spans="1:8" ht="36" x14ac:dyDescent="0.25">
      <c r="A332" s="19">
        <f t="shared" si="180"/>
        <v>321</v>
      </c>
      <c r="B332" s="10" t="s">
        <v>40</v>
      </c>
      <c r="C332" s="11" t="s">
        <v>312</v>
      </c>
      <c r="D332" s="24" t="s">
        <v>809</v>
      </c>
      <c r="E332" s="11">
        <v>850</v>
      </c>
      <c r="F332" s="12">
        <f>10000-9302.42</f>
        <v>697.57999999999993</v>
      </c>
      <c r="G332" s="12">
        <v>0</v>
      </c>
      <c r="H332" s="12">
        <v>0</v>
      </c>
    </row>
    <row r="333" spans="1:8" ht="36" x14ac:dyDescent="0.25">
      <c r="A333" s="19">
        <f t="shared" si="180"/>
        <v>322</v>
      </c>
      <c r="B333" s="10" t="s">
        <v>321</v>
      </c>
      <c r="C333" s="11" t="s">
        <v>312</v>
      </c>
      <c r="D333" s="11" t="s">
        <v>322</v>
      </c>
      <c r="E333" s="11"/>
      <c r="F333" s="12">
        <f>SUM(F334:F336)</f>
        <v>990.60000000000036</v>
      </c>
      <c r="G333" s="12">
        <f t="shared" ref="G333:H333" si="193">SUM(G334:G336)</f>
        <v>0</v>
      </c>
      <c r="H333" s="12">
        <f t="shared" si="193"/>
        <v>0</v>
      </c>
    </row>
    <row r="334" spans="1:8" ht="54" x14ac:dyDescent="0.25">
      <c r="A334" s="19">
        <f t="shared" si="180"/>
        <v>323</v>
      </c>
      <c r="B334" s="10" t="s">
        <v>28</v>
      </c>
      <c r="C334" s="11" t="s">
        <v>312</v>
      </c>
      <c r="D334" s="11" t="s">
        <v>322</v>
      </c>
      <c r="E334" s="11">
        <v>240</v>
      </c>
      <c r="F334" s="12">
        <v>9</v>
      </c>
      <c r="G334" s="12">
        <v>0</v>
      </c>
      <c r="H334" s="12">
        <v>0</v>
      </c>
    </row>
    <row r="335" spans="1:8" x14ac:dyDescent="0.25">
      <c r="A335" s="19">
        <f t="shared" si="180"/>
        <v>324</v>
      </c>
      <c r="B335" s="10" t="s">
        <v>319</v>
      </c>
      <c r="C335" s="11" t="s">
        <v>312</v>
      </c>
      <c r="D335" s="11" t="s">
        <v>322</v>
      </c>
      <c r="E335" s="11" t="s">
        <v>320</v>
      </c>
      <c r="F335" s="12">
        <f>4373.02-4000</f>
        <v>373.02000000000044</v>
      </c>
      <c r="G335" s="12">
        <v>0</v>
      </c>
      <c r="H335" s="12">
        <v>0</v>
      </c>
    </row>
    <row r="336" spans="1:8" ht="36" x14ac:dyDescent="0.25">
      <c r="A336" s="19">
        <f t="shared" si="180"/>
        <v>325</v>
      </c>
      <c r="B336" s="10" t="s">
        <v>40</v>
      </c>
      <c r="C336" s="11" t="s">
        <v>312</v>
      </c>
      <c r="D336" s="11" t="s">
        <v>322</v>
      </c>
      <c r="E336" s="11" t="s">
        <v>41</v>
      </c>
      <c r="F336" s="12">
        <f>1617.58-1009</f>
        <v>608.57999999999993</v>
      </c>
      <c r="G336" s="12">
        <v>0</v>
      </c>
      <c r="H336" s="12">
        <v>0</v>
      </c>
    </row>
    <row r="337" spans="1:8" ht="72" x14ac:dyDescent="0.25">
      <c r="A337" s="19">
        <f t="shared" si="180"/>
        <v>326</v>
      </c>
      <c r="B337" s="10" t="s">
        <v>190</v>
      </c>
      <c r="C337" s="11" t="s">
        <v>312</v>
      </c>
      <c r="D337" s="11" t="s">
        <v>191</v>
      </c>
      <c r="E337" s="11"/>
      <c r="F337" s="12">
        <f>SUM(F338)</f>
        <v>31268.799999999999</v>
      </c>
      <c r="G337" s="12">
        <f t="shared" ref="G337:H337" si="194">SUM(G338)</f>
        <v>8162</v>
      </c>
      <c r="H337" s="12">
        <f t="shared" si="194"/>
        <v>8162</v>
      </c>
    </row>
    <row r="338" spans="1:8" ht="54" x14ac:dyDescent="0.25">
      <c r="A338" s="19">
        <f t="shared" si="180"/>
        <v>327</v>
      </c>
      <c r="B338" s="10" t="s">
        <v>323</v>
      </c>
      <c r="C338" s="11" t="s">
        <v>312</v>
      </c>
      <c r="D338" s="11" t="s">
        <v>324</v>
      </c>
      <c r="E338" s="11"/>
      <c r="F338" s="12">
        <f>SUM(F339+F341+F343+F345+F347)</f>
        <v>31268.799999999999</v>
      </c>
      <c r="G338" s="12">
        <f t="shared" ref="G338:H338" si="195">SUM(G339+G341+G343+G345+G347)</f>
        <v>8162</v>
      </c>
      <c r="H338" s="12">
        <f t="shared" si="195"/>
        <v>8162</v>
      </c>
    </row>
    <row r="339" spans="1:8" ht="54" x14ac:dyDescent="0.25">
      <c r="A339" s="19">
        <f t="shared" si="180"/>
        <v>328</v>
      </c>
      <c r="B339" s="10" t="s">
        <v>325</v>
      </c>
      <c r="C339" s="11" t="s">
        <v>312</v>
      </c>
      <c r="D339" s="11" t="s">
        <v>326</v>
      </c>
      <c r="E339" s="11"/>
      <c r="F339" s="12">
        <f>SUM(F340)</f>
        <v>2290.4700000000003</v>
      </c>
      <c r="G339" s="12">
        <f t="shared" ref="G339:H339" si="196">SUM(G340)</f>
        <v>1500</v>
      </c>
      <c r="H339" s="12">
        <f t="shared" si="196"/>
        <v>1500</v>
      </c>
    </row>
    <row r="340" spans="1:8" ht="54" x14ac:dyDescent="0.25">
      <c r="A340" s="19">
        <f t="shared" si="180"/>
        <v>329</v>
      </c>
      <c r="B340" s="10" t="s">
        <v>28</v>
      </c>
      <c r="C340" s="11" t="s">
        <v>312</v>
      </c>
      <c r="D340" s="11" t="s">
        <v>326</v>
      </c>
      <c r="E340" s="11" t="s">
        <v>29</v>
      </c>
      <c r="F340" s="12">
        <f>2035.7+131.77+123</f>
        <v>2290.4700000000003</v>
      </c>
      <c r="G340" s="12">
        <v>1500</v>
      </c>
      <c r="H340" s="12">
        <v>1500</v>
      </c>
    </row>
    <row r="341" spans="1:8" ht="72" x14ac:dyDescent="0.25">
      <c r="A341" s="19">
        <f t="shared" si="180"/>
        <v>330</v>
      </c>
      <c r="B341" s="10" t="s">
        <v>327</v>
      </c>
      <c r="C341" s="11" t="s">
        <v>312</v>
      </c>
      <c r="D341" s="11" t="s">
        <v>328</v>
      </c>
      <c r="E341" s="11"/>
      <c r="F341" s="12">
        <f>SUM(F342)</f>
        <v>20966.3</v>
      </c>
      <c r="G341" s="12">
        <f t="shared" ref="G341:H341" si="197">SUM(G342)</f>
        <v>0</v>
      </c>
      <c r="H341" s="12">
        <f t="shared" si="197"/>
        <v>0</v>
      </c>
    </row>
    <row r="342" spans="1:8" ht="54" x14ac:dyDescent="0.25">
      <c r="A342" s="19">
        <f t="shared" si="180"/>
        <v>331</v>
      </c>
      <c r="B342" s="10" t="s">
        <v>28</v>
      </c>
      <c r="C342" s="11" t="s">
        <v>312</v>
      </c>
      <c r="D342" s="11" t="s">
        <v>328</v>
      </c>
      <c r="E342" s="11" t="s">
        <v>29</v>
      </c>
      <c r="F342" s="12">
        <v>20966.3</v>
      </c>
      <c r="G342" s="12">
        <v>0</v>
      </c>
      <c r="H342" s="12">
        <v>0</v>
      </c>
    </row>
    <row r="343" spans="1:8" ht="54" x14ac:dyDescent="0.25">
      <c r="A343" s="19">
        <f t="shared" si="180"/>
        <v>332</v>
      </c>
      <c r="B343" s="10" t="s">
        <v>329</v>
      </c>
      <c r="C343" s="11" t="s">
        <v>312</v>
      </c>
      <c r="D343" s="11" t="s">
        <v>330</v>
      </c>
      <c r="E343" s="11"/>
      <c r="F343" s="12">
        <f>SUM(F344)</f>
        <v>100</v>
      </c>
      <c r="G343" s="12">
        <f t="shared" ref="G343:H343" si="198">SUM(G344)</f>
        <v>100</v>
      </c>
      <c r="H343" s="12">
        <f t="shared" si="198"/>
        <v>100</v>
      </c>
    </row>
    <row r="344" spans="1:8" ht="54" x14ac:dyDescent="0.25">
      <c r="A344" s="19">
        <f t="shared" si="180"/>
        <v>333</v>
      </c>
      <c r="B344" s="10" t="s">
        <v>28</v>
      </c>
      <c r="C344" s="11" t="s">
        <v>312</v>
      </c>
      <c r="D344" s="11" t="s">
        <v>330</v>
      </c>
      <c r="E344" s="11" t="s">
        <v>29</v>
      </c>
      <c r="F344" s="12">
        <v>100</v>
      </c>
      <c r="G344" s="12">
        <v>100</v>
      </c>
      <c r="H344" s="12">
        <v>100</v>
      </c>
    </row>
    <row r="345" spans="1:8" ht="144" x14ac:dyDescent="0.25">
      <c r="A345" s="19">
        <f t="shared" si="180"/>
        <v>334</v>
      </c>
      <c r="B345" s="10" t="s">
        <v>331</v>
      </c>
      <c r="C345" s="11" t="s">
        <v>312</v>
      </c>
      <c r="D345" s="11" t="s">
        <v>332</v>
      </c>
      <c r="E345" s="11"/>
      <c r="F345" s="12">
        <f>SUM(F346)</f>
        <v>5993.23</v>
      </c>
      <c r="G345" s="12">
        <f t="shared" ref="G345:H345" si="199">SUM(G346)</f>
        <v>6562</v>
      </c>
      <c r="H345" s="12">
        <f t="shared" si="199"/>
        <v>6562</v>
      </c>
    </row>
    <row r="346" spans="1:8" ht="54" x14ac:dyDescent="0.25">
      <c r="A346" s="19">
        <f t="shared" si="180"/>
        <v>335</v>
      </c>
      <c r="B346" s="10" t="s">
        <v>28</v>
      </c>
      <c r="C346" s="11" t="s">
        <v>312</v>
      </c>
      <c r="D346" s="11" t="s">
        <v>332</v>
      </c>
      <c r="E346" s="11" t="s">
        <v>29</v>
      </c>
      <c r="F346" s="12">
        <f>6307.23-314</f>
        <v>5993.23</v>
      </c>
      <c r="G346" s="12">
        <v>6562</v>
      </c>
      <c r="H346" s="12">
        <v>6562</v>
      </c>
    </row>
    <row r="347" spans="1:8" ht="72" x14ac:dyDescent="0.25">
      <c r="A347" s="19">
        <f t="shared" si="180"/>
        <v>336</v>
      </c>
      <c r="B347" s="10" t="s">
        <v>333</v>
      </c>
      <c r="C347" s="11" t="s">
        <v>312</v>
      </c>
      <c r="D347" s="11" t="s">
        <v>334</v>
      </c>
      <c r="E347" s="11"/>
      <c r="F347" s="12">
        <f>SUM(F348)</f>
        <v>1918.8</v>
      </c>
      <c r="G347" s="12">
        <f t="shared" ref="G347:H347" si="200">SUM(G348)</f>
        <v>0</v>
      </c>
      <c r="H347" s="12">
        <f t="shared" si="200"/>
        <v>0</v>
      </c>
    </row>
    <row r="348" spans="1:8" ht="54" x14ac:dyDescent="0.25">
      <c r="A348" s="19">
        <f t="shared" si="180"/>
        <v>337</v>
      </c>
      <c r="B348" s="10" t="s">
        <v>28</v>
      </c>
      <c r="C348" s="11" t="s">
        <v>312</v>
      </c>
      <c r="D348" s="11" t="s">
        <v>334</v>
      </c>
      <c r="E348" s="11" t="s">
        <v>29</v>
      </c>
      <c r="F348" s="12">
        <v>1918.8</v>
      </c>
      <c r="G348" s="12">
        <v>0</v>
      </c>
      <c r="H348" s="12">
        <v>0</v>
      </c>
    </row>
    <row r="349" spans="1:8" x14ac:dyDescent="0.25">
      <c r="A349" s="18">
        <f t="shared" si="180"/>
        <v>338</v>
      </c>
      <c r="B349" s="14" t="s">
        <v>335</v>
      </c>
      <c r="C349" s="15" t="s">
        <v>336</v>
      </c>
      <c r="D349" s="15"/>
      <c r="E349" s="15"/>
      <c r="F349" s="16">
        <f>SUM(F350+F363+F410)</f>
        <v>230128.98</v>
      </c>
      <c r="G349" s="16">
        <f t="shared" ref="G349:H349" si="201">SUM(G350+G363+G410)</f>
        <v>351859.75</v>
      </c>
      <c r="H349" s="16">
        <f t="shared" si="201"/>
        <v>130720.77</v>
      </c>
    </row>
    <row r="350" spans="1:8" ht="72" x14ac:dyDescent="0.25">
      <c r="A350" s="19">
        <f t="shared" si="180"/>
        <v>339</v>
      </c>
      <c r="B350" s="10" t="s">
        <v>266</v>
      </c>
      <c r="C350" s="11" t="s">
        <v>336</v>
      </c>
      <c r="D350" s="11" t="s">
        <v>267</v>
      </c>
      <c r="E350" s="11"/>
      <c r="F350" s="12">
        <f>SUM(F351)</f>
        <v>61009.72</v>
      </c>
      <c r="G350" s="12">
        <f t="shared" ref="G350:H350" si="202">SUM(G351)</f>
        <v>24736.6</v>
      </c>
      <c r="H350" s="12">
        <f t="shared" si="202"/>
        <v>4131</v>
      </c>
    </row>
    <row r="351" spans="1:8" ht="36" x14ac:dyDescent="0.25">
      <c r="A351" s="19">
        <f t="shared" si="180"/>
        <v>340</v>
      </c>
      <c r="B351" s="10" t="s">
        <v>337</v>
      </c>
      <c r="C351" s="11" t="s">
        <v>336</v>
      </c>
      <c r="D351" s="11" t="s">
        <v>338</v>
      </c>
      <c r="E351" s="11"/>
      <c r="F351" s="12">
        <f>SUM(F352+F355+F357+F359+F361)</f>
        <v>61009.72</v>
      </c>
      <c r="G351" s="12">
        <f t="shared" ref="G351:H351" si="203">SUM(G352+G355+G357+G359+G361)</f>
        <v>24736.6</v>
      </c>
      <c r="H351" s="12">
        <f t="shared" si="203"/>
        <v>4131</v>
      </c>
    </row>
    <row r="352" spans="1:8" ht="36" x14ac:dyDescent="0.25">
      <c r="A352" s="19">
        <f t="shared" si="180"/>
        <v>341</v>
      </c>
      <c r="B352" s="10" t="s">
        <v>339</v>
      </c>
      <c r="C352" s="11" t="s">
        <v>336</v>
      </c>
      <c r="D352" s="11" t="s">
        <v>340</v>
      </c>
      <c r="E352" s="11"/>
      <c r="F352" s="12">
        <f>SUM(F353:F354)</f>
        <v>3674.6199999999994</v>
      </c>
      <c r="G352" s="12">
        <f t="shared" ref="G352:H352" si="204">SUM(G353:G354)</f>
        <v>3640.37</v>
      </c>
      <c r="H352" s="12">
        <f t="shared" si="204"/>
        <v>3731</v>
      </c>
    </row>
    <row r="353" spans="1:8" ht="54" x14ac:dyDescent="0.25">
      <c r="A353" s="19">
        <f t="shared" si="180"/>
        <v>342</v>
      </c>
      <c r="B353" s="10" t="s">
        <v>28</v>
      </c>
      <c r="C353" s="11" t="s">
        <v>336</v>
      </c>
      <c r="D353" s="11" t="s">
        <v>340</v>
      </c>
      <c r="E353" s="11" t="s">
        <v>29</v>
      </c>
      <c r="F353" s="12">
        <v>22.06</v>
      </c>
      <c r="G353" s="12">
        <f>4385.95-745.58</f>
        <v>3640.37</v>
      </c>
      <c r="H353" s="12">
        <v>3731</v>
      </c>
    </row>
    <row r="354" spans="1:8" x14ac:dyDescent="0.25">
      <c r="A354" s="19">
        <f t="shared" si="180"/>
        <v>343</v>
      </c>
      <c r="B354" s="10" t="s">
        <v>319</v>
      </c>
      <c r="C354" s="11" t="s">
        <v>336</v>
      </c>
      <c r="D354" s="11" t="s">
        <v>340</v>
      </c>
      <c r="E354" s="11" t="s">
        <v>320</v>
      </c>
      <c r="F354" s="12">
        <f>9371.46-5718.9</f>
        <v>3652.5599999999995</v>
      </c>
      <c r="G354" s="12">
        <f>1324.05-1324.05</f>
        <v>0</v>
      </c>
      <c r="H354" s="12">
        <v>0</v>
      </c>
    </row>
    <row r="355" spans="1:8" ht="72" x14ac:dyDescent="0.25">
      <c r="A355" s="19">
        <f t="shared" si="180"/>
        <v>344</v>
      </c>
      <c r="B355" s="10" t="s">
        <v>341</v>
      </c>
      <c r="C355" s="11" t="s">
        <v>336</v>
      </c>
      <c r="D355" s="11" t="s">
        <v>342</v>
      </c>
      <c r="E355" s="11"/>
      <c r="F355" s="12">
        <f>SUM(F356)</f>
        <v>146.19999999999999</v>
      </c>
      <c r="G355" s="12">
        <f t="shared" ref="G355:H355" si="205">SUM(G356)</f>
        <v>0</v>
      </c>
      <c r="H355" s="12">
        <f t="shared" si="205"/>
        <v>0</v>
      </c>
    </row>
    <row r="356" spans="1:8" x14ac:dyDescent="0.25">
      <c r="A356" s="19">
        <f t="shared" si="180"/>
        <v>345</v>
      </c>
      <c r="B356" s="10" t="s">
        <v>137</v>
      </c>
      <c r="C356" s="11" t="s">
        <v>336</v>
      </c>
      <c r="D356" s="11" t="s">
        <v>342</v>
      </c>
      <c r="E356" s="11" t="s">
        <v>138</v>
      </c>
      <c r="F356" s="12">
        <v>146.19999999999999</v>
      </c>
      <c r="G356" s="12">
        <v>0</v>
      </c>
      <c r="H356" s="12">
        <v>0</v>
      </c>
    </row>
    <row r="357" spans="1:8" ht="54" x14ac:dyDescent="0.25">
      <c r="A357" s="19">
        <f t="shared" si="180"/>
        <v>346</v>
      </c>
      <c r="B357" s="10" t="s">
        <v>343</v>
      </c>
      <c r="C357" s="11" t="s">
        <v>336</v>
      </c>
      <c r="D357" s="11" t="s">
        <v>344</v>
      </c>
      <c r="E357" s="11"/>
      <c r="F357" s="12">
        <f>SUM(F358)</f>
        <v>0</v>
      </c>
      <c r="G357" s="12">
        <f t="shared" ref="G357:H357" si="206">SUM(G358)</f>
        <v>400</v>
      </c>
      <c r="H357" s="12">
        <f t="shared" si="206"/>
        <v>400</v>
      </c>
    </row>
    <row r="358" spans="1:8" ht="54" x14ac:dyDescent="0.25">
      <c r="A358" s="19">
        <f t="shared" si="180"/>
        <v>347</v>
      </c>
      <c r="B358" s="10" t="s">
        <v>28</v>
      </c>
      <c r="C358" s="11" t="s">
        <v>336</v>
      </c>
      <c r="D358" s="11" t="s">
        <v>344</v>
      </c>
      <c r="E358" s="11" t="s">
        <v>29</v>
      </c>
      <c r="F358" s="12">
        <f>400-400</f>
        <v>0</v>
      </c>
      <c r="G358" s="12">
        <v>400</v>
      </c>
      <c r="H358" s="12">
        <v>400</v>
      </c>
    </row>
    <row r="359" spans="1:8" ht="54" x14ac:dyDescent="0.25">
      <c r="A359" s="19">
        <f t="shared" si="180"/>
        <v>348</v>
      </c>
      <c r="B359" s="10" t="s">
        <v>833</v>
      </c>
      <c r="C359" s="11" t="s">
        <v>336</v>
      </c>
      <c r="D359" s="24" t="s">
        <v>831</v>
      </c>
      <c r="E359" s="11"/>
      <c r="F359" s="12">
        <f>SUM(F360)</f>
        <v>51470</v>
      </c>
      <c r="G359" s="12">
        <f t="shared" ref="G359:H359" si="207">SUM(G360)</f>
        <v>18626.599999999999</v>
      </c>
      <c r="H359" s="12">
        <f t="shared" si="207"/>
        <v>0</v>
      </c>
    </row>
    <row r="360" spans="1:8" x14ac:dyDescent="0.25">
      <c r="A360" s="19">
        <f t="shared" si="180"/>
        <v>349</v>
      </c>
      <c r="B360" s="10" t="s">
        <v>319</v>
      </c>
      <c r="C360" s="11" t="s">
        <v>336</v>
      </c>
      <c r="D360" s="24" t="s">
        <v>831</v>
      </c>
      <c r="E360" s="11">
        <v>410</v>
      </c>
      <c r="F360" s="12">
        <v>51470</v>
      </c>
      <c r="G360" s="12">
        <v>18626.599999999999</v>
      </c>
      <c r="H360" s="12">
        <v>0</v>
      </c>
    </row>
    <row r="361" spans="1:8" ht="72" x14ac:dyDescent="0.25">
      <c r="A361" s="19">
        <f t="shared" si="180"/>
        <v>350</v>
      </c>
      <c r="B361" s="10" t="s">
        <v>834</v>
      </c>
      <c r="C361" s="11" t="s">
        <v>336</v>
      </c>
      <c r="D361" s="24" t="s">
        <v>832</v>
      </c>
      <c r="E361" s="11"/>
      <c r="F361" s="12">
        <f>SUM(F362)</f>
        <v>5718.9</v>
      </c>
      <c r="G361" s="12">
        <f t="shared" ref="G361:H361" si="208">SUM(G362)</f>
        <v>2069.63</v>
      </c>
      <c r="H361" s="12">
        <f t="shared" si="208"/>
        <v>0</v>
      </c>
    </row>
    <row r="362" spans="1:8" x14ac:dyDescent="0.25">
      <c r="A362" s="19">
        <f t="shared" si="180"/>
        <v>351</v>
      </c>
      <c r="B362" s="10" t="s">
        <v>319</v>
      </c>
      <c r="C362" s="11" t="s">
        <v>336</v>
      </c>
      <c r="D362" s="24" t="s">
        <v>832</v>
      </c>
      <c r="E362" s="11">
        <v>410</v>
      </c>
      <c r="F362" s="12">
        <v>5718.9</v>
      </c>
      <c r="G362" s="12">
        <v>2069.63</v>
      </c>
      <c r="H362" s="12"/>
    </row>
    <row r="363" spans="1:8" ht="72" x14ac:dyDescent="0.25">
      <c r="A363" s="19">
        <f t="shared" si="180"/>
        <v>352</v>
      </c>
      <c r="B363" s="10" t="s">
        <v>190</v>
      </c>
      <c r="C363" s="11" t="s">
        <v>336</v>
      </c>
      <c r="D363" s="11" t="s">
        <v>191</v>
      </c>
      <c r="E363" s="11"/>
      <c r="F363" s="12">
        <f>SUM(F364+F381+F384+F400+F404)</f>
        <v>153223.78</v>
      </c>
      <c r="G363" s="12">
        <f t="shared" ref="G363:H363" si="209">SUM(G364+G381+G384+G400+G404)</f>
        <v>327123.15000000002</v>
      </c>
      <c r="H363" s="12">
        <f t="shared" si="209"/>
        <v>126589.77</v>
      </c>
    </row>
    <row r="364" spans="1:8" ht="90" x14ac:dyDescent="0.25">
      <c r="A364" s="19">
        <f t="shared" si="180"/>
        <v>353</v>
      </c>
      <c r="B364" s="10" t="s">
        <v>345</v>
      </c>
      <c r="C364" s="11" t="s">
        <v>336</v>
      </c>
      <c r="D364" s="11" t="s">
        <v>346</v>
      </c>
      <c r="E364" s="11"/>
      <c r="F364" s="12">
        <f>SUM(F365+F367+F369+F371+F373+F375+F377+F379)</f>
        <v>10078.570000000002</v>
      </c>
      <c r="G364" s="12">
        <f t="shared" ref="G364:H364" si="210">SUM(G365+G367+G369+G371+G373+G375+G377+G379)</f>
        <v>236272.91999999998</v>
      </c>
      <c r="H364" s="12">
        <f t="shared" si="210"/>
        <v>61532.259999999995</v>
      </c>
    </row>
    <row r="365" spans="1:8" ht="54" x14ac:dyDescent="0.25">
      <c r="A365" s="19">
        <f t="shared" si="180"/>
        <v>354</v>
      </c>
      <c r="B365" s="10" t="s">
        <v>347</v>
      </c>
      <c r="C365" s="11" t="s">
        <v>336</v>
      </c>
      <c r="D365" s="11" t="s">
        <v>348</v>
      </c>
      <c r="E365" s="11"/>
      <c r="F365" s="12">
        <f>SUM(F366)</f>
        <v>2214.1100000000006</v>
      </c>
      <c r="G365" s="12">
        <f t="shared" ref="G365:H365" si="211">SUM(G366)</f>
        <v>156593.88999999998</v>
      </c>
      <c r="H365" s="12">
        <f t="shared" si="211"/>
        <v>0</v>
      </c>
    </row>
    <row r="366" spans="1:8" x14ac:dyDescent="0.25">
      <c r="A366" s="19">
        <f t="shared" si="180"/>
        <v>355</v>
      </c>
      <c r="B366" s="10" t="s">
        <v>319</v>
      </c>
      <c r="C366" s="11" t="s">
        <v>336</v>
      </c>
      <c r="D366" s="11" t="s">
        <v>348</v>
      </c>
      <c r="E366" s="11" t="s">
        <v>320</v>
      </c>
      <c r="F366" s="12">
        <f>48000-45785.89</f>
        <v>2214.1100000000006</v>
      </c>
      <c r="G366" s="12">
        <f>112163.79+44430.1</f>
        <v>156593.88999999998</v>
      </c>
      <c r="H366" s="12">
        <v>0</v>
      </c>
    </row>
    <row r="367" spans="1:8" ht="90" x14ac:dyDescent="0.25">
      <c r="A367" s="19">
        <f t="shared" si="180"/>
        <v>356</v>
      </c>
      <c r="B367" s="10" t="s">
        <v>349</v>
      </c>
      <c r="C367" s="11" t="s">
        <v>336</v>
      </c>
      <c r="D367" s="11" t="s">
        <v>350</v>
      </c>
      <c r="E367" s="11"/>
      <c r="F367" s="12">
        <f>SUM(F368)</f>
        <v>2960</v>
      </c>
      <c r="G367" s="12">
        <f t="shared" ref="G367:H367" si="212">SUM(G368)</f>
        <v>1000</v>
      </c>
      <c r="H367" s="12">
        <f t="shared" si="212"/>
        <v>2500</v>
      </c>
    </row>
    <row r="368" spans="1:8" x14ac:dyDescent="0.25">
      <c r="A368" s="19">
        <f t="shared" si="180"/>
        <v>357</v>
      </c>
      <c r="B368" s="10" t="s">
        <v>319</v>
      </c>
      <c r="C368" s="11" t="s">
        <v>336</v>
      </c>
      <c r="D368" s="11" t="s">
        <v>350</v>
      </c>
      <c r="E368" s="11" t="s">
        <v>320</v>
      </c>
      <c r="F368" s="12">
        <f>4000-1040</f>
        <v>2960</v>
      </c>
      <c r="G368" s="12">
        <f>2500-1500</f>
        <v>1000</v>
      </c>
      <c r="H368" s="12">
        <v>2500</v>
      </c>
    </row>
    <row r="369" spans="1:8" ht="90" x14ac:dyDescent="0.25">
      <c r="A369" s="19">
        <f t="shared" si="180"/>
        <v>358</v>
      </c>
      <c r="B369" s="10" t="s">
        <v>351</v>
      </c>
      <c r="C369" s="11" t="s">
        <v>336</v>
      </c>
      <c r="D369" s="11" t="s">
        <v>352</v>
      </c>
      <c r="E369" s="11"/>
      <c r="F369" s="12">
        <f>SUM(F370)</f>
        <v>300</v>
      </c>
      <c r="G369" s="12">
        <f t="shared" ref="G369:H369" si="213">SUM(G370)</f>
        <v>300</v>
      </c>
      <c r="H369" s="12">
        <f t="shared" si="213"/>
        <v>300</v>
      </c>
    </row>
    <row r="370" spans="1:8" ht="54" x14ac:dyDescent="0.25">
      <c r="A370" s="19">
        <f t="shared" si="180"/>
        <v>359</v>
      </c>
      <c r="B370" s="10" t="s">
        <v>28</v>
      </c>
      <c r="C370" s="11" t="s">
        <v>336</v>
      </c>
      <c r="D370" s="11" t="s">
        <v>352</v>
      </c>
      <c r="E370" s="11" t="s">
        <v>29</v>
      </c>
      <c r="F370" s="12">
        <v>300</v>
      </c>
      <c r="G370" s="12">
        <v>300</v>
      </c>
      <c r="H370" s="12">
        <v>300</v>
      </c>
    </row>
    <row r="371" spans="1:8" ht="36" x14ac:dyDescent="0.25">
      <c r="A371" s="19">
        <f t="shared" si="180"/>
        <v>360</v>
      </c>
      <c r="B371" s="10" t="s">
        <v>353</v>
      </c>
      <c r="C371" s="11" t="s">
        <v>336</v>
      </c>
      <c r="D371" s="11" t="s">
        <v>354</v>
      </c>
      <c r="E371" s="11"/>
      <c r="F371" s="12">
        <f>SUM(F372)</f>
        <v>750</v>
      </c>
      <c r="G371" s="12">
        <f t="shared" ref="G371:H371" si="214">SUM(G372)</f>
        <v>750</v>
      </c>
      <c r="H371" s="12">
        <f t="shared" si="214"/>
        <v>0</v>
      </c>
    </row>
    <row r="372" spans="1:8" ht="54" x14ac:dyDescent="0.25">
      <c r="A372" s="19">
        <f t="shared" si="180"/>
        <v>361</v>
      </c>
      <c r="B372" s="10" t="s">
        <v>28</v>
      </c>
      <c r="C372" s="11" t="s">
        <v>336</v>
      </c>
      <c r="D372" s="11" t="s">
        <v>354</v>
      </c>
      <c r="E372" s="11" t="s">
        <v>29</v>
      </c>
      <c r="F372" s="12">
        <v>750</v>
      </c>
      <c r="G372" s="12">
        <v>750</v>
      </c>
      <c r="H372" s="12">
        <v>0</v>
      </c>
    </row>
    <row r="373" spans="1:8" ht="72" x14ac:dyDescent="0.25">
      <c r="A373" s="19">
        <f t="shared" si="180"/>
        <v>362</v>
      </c>
      <c r="B373" s="10" t="s">
        <v>355</v>
      </c>
      <c r="C373" s="11" t="s">
        <v>336</v>
      </c>
      <c r="D373" s="11" t="s">
        <v>356</v>
      </c>
      <c r="E373" s="11"/>
      <c r="F373" s="12">
        <f>SUM(F374)</f>
        <v>2798.2</v>
      </c>
      <c r="G373" s="12">
        <f t="shared" ref="G373:H373" si="215">SUM(G374)</f>
        <v>1644.21</v>
      </c>
      <c r="H373" s="12">
        <f t="shared" si="215"/>
        <v>3000</v>
      </c>
    </row>
    <row r="374" spans="1:8" ht="54" x14ac:dyDescent="0.25">
      <c r="A374" s="19">
        <f t="shared" si="180"/>
        <v>363</v>
      </c>
      <c r="B374" s="10" t="s">
        <v>28</v>
      </c>
      <c r="C374" s="11" t="s">
        <v>336</v>
      </c>
      <c r="D374" s="11" t="s">
        <v>356</v>
      </c>
      <c r="E374" s="11" t="s">
        <v>29</v>
      </c>
      <c r="F374" s="12">
        <f>3000-201.8</f>
        <v>2798.2</v>
      </c>
      <c r="G374" s="12">
        <f>3000-1355.79</f>
        <v>1644.21</v>
      </c>
      <c r="H374" s="12">
        <v>3000</v>
      </c>
    </row>
    <row r="375" spans="1:8" ht="54" x14ac:dyDescent="0.25">
      <c r="A375" s="19">
        <f t="shared" si="180"/>
        <v>364</v>
      </c>
      <c r="B375" s="10" t="s">
        <v>357</v>
      </c>
      <c r="C375" s="11" t="s">
        <v>336</v>
      </c>
      <c r="D375" s="11" t="s">
        <v>358</v>
      </c>
      <c r="E375" s="11"/>
      <c r="F375" s="12">
        <f>SUM(F376)</f>
        <v>1056.26</v>
      </c>
      <c r="G375" s="12">
        <f t="shared" ref="G375:H375" si="216">SUM(G376)</f>
        <v>70984.820000000007</v>
      </c>
      <c r="H375" s="12">
        <f t="shared" si="216"/>
        <v>25732.26</v>
      </c>
    </row>
    <row r="376" spans="1:8" ht="90" x14ac:dyDescent="0.25">
      <c r="A376" s="19">
        <f t="shared" si="180"/>
        <v>365</v>
      </c>
      <c r="B376" s="10" t="s">
        <v>302</v>
      </c>
      <c r="C376" s="11" t="s">
        <v>336</v>
      </c>
      <c r="D376" s="11" t="s">
        <v>358</v>
      </c>
      <c r="E376" s="11" t="s">
        <v>303</v>
      </c>
      <c r="F376" s="12">
        <v>1056.26</v>
      </c>
      <c r="G376" s="12">
        <f>69484.82+1500</f>
        <v>70984.820000000007</v>
      </c>
      <c r="H376" s="12">
        <v>25732.26</v>
      </c>
    </row>
    <row r="377" spans="1:8" ht="90" x14ac:dyDescent="0.25">
      <c r="A377" s="19">
        <f t="shared" si="180"/>
        <v>366</v>
      </c>
      <c r="B377" s="10" t="s">
        <v>359</v>
      </c>
      <c r="C377" s="11" t="s">
        <v>336</v>
      </c>
      <c r="D377" s="11" t="s">
        <v>360</v>
      </c>
      <c r="E377" s="11"/>
      <c r="F377" s="12">
        <f>SUM(F378)</f>
        <v>0</v>
      </c>
      <c r="G377" s="12">
        <f t="shared" ref="G377:H377" si="217">SUM(G378)</f>
        <v>5000</v>
      </c>
      <c r="H377" s="12">
        <f t="shared" si="217"/>
        <v>0</v>
      </c>
    </row>
    <row r="378" spans="1:8" x14ac:dyDescent="0.25">
      <c r="A378" s="19">
        <f t="shared" si="180"/>
        <v>367</v>
      </c>
      <c r="B378" s="10" t="s">
        <v>319</v>
      </c>
      <c r="C378" s="11" t="s">
        <v>336</v>
      </c>
      <c r="D378" s="11" t="s">
        <v>360</v>
      </c>
      <c r="E378" s="11" t="s">
        <v>320</v>
      </c>
      <c r="F378" s="12">
        <v>0</v>
      </c>
      <c r="G378" s="12">
        <v>5000</v>
      </c>
      <c r="H378" s="12">
        <v>0</v>
      </c>
    </row>
    <row r="379" spans="1:8" ht="54" x14ac:dyDescent="0.25">
      <c r="A379" s="19">
        <f t="shared" si="180"/>
        <v>368</v>
      </c>
      <c r="B379" s="10" t="s">
        <v>361</v>
      </c>
      <c r="C379" s="11" t="s">
        <v>336</v>
      </c>
      <c r="D379" s="11" t="s">
        <v>362</v>
      </c>
      <c r="E379" s="11"/>
      <c r="F379" s="12">
        <f>SUM(F380)</f>
        <v>0</v>
      </c>
      <c r="G379" s="12">
        <f t="shared" ref="G379:H379" si="218">SUM(G380)</f>
        <v>0</v>
      </c>
      <c r="H379" s="12">
        <f t="shared" si="218"/>
        <v>30000</v>
      </c>
    </row>
    <row r="380" spans="1:8" x14ac:dyDescent="0.25">
      <c r="A380" s="19">
        <f t="shared" si="180"/>
        <v>369</v>
      </c>
      <c r="B380" s="10" t="s">
        <v>319</v>
      </c>
      <c r="C380" s="11" t="s">
        <v>336</v>
      </c>
      <c r="D380" s="11" t="s">
        <v>362</v>
      </c>
      <c r="E380" s="11" t="s">
        <v>320</v>
      </c>
      <c r="F380" s="12">
        <v>0</v>
      </c>
      <c r="G380" s="12">
        <v>0</v>
      </c>
      <c r="H380" s="12">
        <v>30000</v>
      </c>
    </row>
    <row r="381" spans="1:8" ht="54" x14ac:dyDescent="0.25">
      <c r="A381" s="19">
        <f t="shared" si="180"/>
        <v>370</v>
      </c>
      <c r="B381" s="10" t="s">
        <v>323</v>
      </c>
      <c r="C381" s="11" t="s">
        <v>336</v>
      </c>
      <c r="D381" s="11" t="s">
        <v>324</v>
      </c>
      <c r="E381" s="11"/>
      <c r="F381" s="12">
        <f>SUM(F382)</f>
        <v>9123.6</v>
      </c>
      <c r="G381" s="12">
        <f t="shared" ref="G381:H381" si="219">SUM(G382)</f>
        <v>5654.1</v>
      </c>
      <c r="H381" s="12">
        <f t="shared" si="219"/>
        <v>5654.1</v>
      </c>
    </row>
    <row r="382" spans="1:8" ht="126" x14ac:dyDescent="0.25">
      <c r="A382" s="19">
        <f t="shared" si="180"/>
        <v>371</v>
      </c>
      <c r="B382" s="10" t="s">
        <v>363</v>
      </c>
      <c r="C382" s="11" t="s">
        <v>336</v>
      </c>
      <c r="D382" s="11" t="s">
        <v>364</v>
      </c>
      <c r="E382" s="11"/>
      <c r="F382" s="12">
        <f>SUM(F383)</f>
        <v>9123.6</v>
      </c>
      <c r="G382" s="12">
        <f t="shared" ref="G382:H382" si="220">SUM(G383)</f>
        <v>5654.1</v>
      </c>
      <c r="H382" s="12">
        <f t="shared" si="220"/>
        <v>5654.1</v>
      </c>
    </row>
    <row r="383" spans="1:8" ht="90" x14ac:dyDescent="0.25">
      <c r="A383" s="19">
        <f t="shared" si="180"/>
        <v>372</v>
      </c>
      <c r="B383" s="10" t="s">
        <v>302</v>
      </c>
      <c r="C383" s="11" t="s">
        <v>336</v>
      </c>
      <c r="D383" s="11" t="s">
        <v>364</v>
      </c>
      <c r="E383" s="11" t="s">
        <v>303</v>
      </c>
      <c r="F383" s="12">
        <f>5980.3+3143.3</f>
        <v>9123.6</v>
      </c>
      <c r="G383" s="12">
        <v>5654.1</v>
      </c>
      <c r="H383" s="12">
        <v>5654.1</v>
      </c>
    </row>
    <row r="384" spans="1:8" ht="72" x14ac:dyDescent="0.25">
      <c r="A384" s="19">
        <f t="shared" ref="A384:A434" si="221">SUM(A383+1)</f>
        <v>373</v>
      </c>
      <c r="B384" s="10" t="s">
        <v>365</v>
      </c>
      <c r="C384" s="11" t="s">
        <v>336</v>
      </c>
      <c r="D384" s="11" t="s">
        <v>366</v>
      </c>
      <c r="E384" s="11"/>
      <c r="F384" s="12">
        <f>SUM(F385+F387+F389+F391+F393+F396+F398)</f>
        <v>121475.46</v>
      </c>
      <c r="G384" s="12">
        <f t="shared" ref="G384:H384" si="222">SUM(G385+G387+G389+G391+G393+G396+G398)</f>
        <v>71172.67</v>
      </c>
      <c r="H384" s="12">
        <f t="shared" si="222"/>
        <v>49147.67</v>
      </c>
    </row>
    <row r="385" spans="1:8" ht="126" x14ac:dyDescent="0.25">
      <c r="A385" s="19">
        <f t="shared" si="221"/>
        <v>374</v>
      </c>
      <c r="B385" s="10" t="s">
        <v>367</v>
      </c>
      <c r="C385" s="11" t="s">
        <v>336</v>
      </c>
      <c r="D385" s="11" t="s">
        <v>368</v>
      </c>
      <c r="E385" s="11"/>
      <c r="F385" s="12">
        <f>SUM(F386)</f>
        <v>15945.76</v>
      </c>
      <c r="G385" s="12">
        <f t="shared" ref="G385:H385" si="223">SUM(G386)</f>
        <v>5000</v>
      </c>
      <c r="H385" s="12">
        <f t="shared" si="223"/>
        <v>8000</v>
      </c>
    </row>
    <row r="386" spans="1:8" ht="54" x14ac:dyDescent="0.25">
      <c r="A386" s="19">
        <f t="shared" si="221"/>
        <v>375</v>
      </c>
      <c r="B386" s="10" t="s">
        <v>28</v>
      </c>
      <c r="C386" s="11" t="s">
        <v>336</v>
      </c>
      <c r="D386" s="11" t="s">
        <v>368</v>
      </c>
      <c r="E386" s="11" t="s">
        <v>29</v>
      </c>
      <c r="F386" s="12">
        <f>8000+7945.76</f>
        <v>15945.76</v>
      </c>
      <c r="G386" s="12">
        <v>5000</v>
      </c>
      <c r="H386" s="12">
        <v>8000</v>
      </c>
    </row>
    <row r="387" spans="1:8" ht="54" x14ac:dyDescent="0.25">
      <c r="A387" s="19">
        <f t="shared" si="221"/>
        <v>376</v>
      </c>
      <c r="B387" s="10" t="s">
        <v>369</v>
      </c>
      <c r="C387" s="11" t="s">
        <v>336</v>
      </c>
      <c r="D387" s="11" t="s">
        <v>370</v>
      </c>
      <c r="E387" s="11"/>
      <c r="F387" s="12">
        <f>SUM(F388)</f>
        <v>3103.8</v>
      </c>
      <c r="G387" s="12">
        <f t="shared" ref="G387:H387" si="224">SUM(G388)</f>
        <v>1000</v>
      </c>
      <c r="H387" s="12">
        <f t="shared" si="224"/>
        <v>1000</v>
      </c>
    </row>
    <row r="388" spans="1:8" ht="54" x14ac:dyDescent="0.25">
      <c r="A388" s="19">
        <f t="shared" si="221"/>
        <v>377</v>
      </c>
      <c r="B388" s="10" t="s">
        <v>28</v>
      </c>
      <c r="C388" s="11" t="s">
        <v>336</v>
      </c>
      <c r="D388" s="11" t="s">
        <v>370</v>
      </c>
      <c r="E388" s="11" t="s">
        <v>29</v>
      </c>
      <c r="F388" s="12">
        <f>2241.8+862</f>
        <v>3103.8</v>
      </c>
      <c r="G388" s="12">
        <v>1000</v>
      </c>
      <c r="H388" s="12">
        <v>1000</v>
      </c>
    </row>
    <row r="389" spans="1:8" ht="108" x14ac:dyDescent="0.25">
      <c r="A389" s="19">
        <f t="shared" si="221"/>
        <v>378</v>
      </c>
      <c r="B389" s="10" t="s">
        <v>371</v>
      </c>
      <c r="C389" s="11" t="s">
        <v>336</v>
      </c>
      <c r="D389" s="11" t="s">
        <v>372</v>
      </c>
      <c r="E389" s="11"/>
      <c r="F389" s="12">
        <f>SUM(F390)</f>
        <v>40937</v>
      </c>
      <c r="G389" s="12">
        <f t="shared" ref="G389:H389" si="225">SUM(G390)</f>
        <v>0</v>
      </c>
      <c r="H389" s="12">
        <f t="shared" si="225"/>
        <v>0</v>
      </c>
    </row>
    <row r="390" spans="1:8" x14ac:dyDescent="0.25">
      <c r="A390" s="19">
        <f t="shared" si="221"/>
        <v>379</v>
      </c>
      <c r="B390" s="10" t="s">
        <v>319</v>
      </c>
      <c r="C390" s="11" t="s">
        <v>336</v>
      </c>
      <c r="D390" s="11" t="s">
        <v>372</v>
      </c>
      <c r="E390" s="11" t="s">
        <v>320</v>
      </c>
      <c r="F390" s="12">
        <v>40937</v>
      </c>
      <c r="G390" s="12">
        <v>0</v>
      </c>
      <c r="H390" s="12">
        <v>0</v>
      </c>
    </row>
    <row r="391" spans="1:8" ht="72.75" customHeight="1" x14ac:dyDescent="0.25">
      <c r="A391" s="19">
        <f t="shared" ref="A391:A449" si="226">SUM(A390+1)</f>
        <v>380</v>
      </c>
      <c r="B391" s="10" t="s">
        <v>373</v>
      </c>
      <c r="C391" s="11" t="s">
        <v>336</v>
      </c>
      <c r="D391" s="11" t="s">
        <v>374</v>
      </c>
      <c r="E391" s="11"/>
      <c r="F391" s="12">
        <f>SUM(F392)</f>
        <v>14345</v>
      </c>
      <c r="G391" s="12">
        <f t="shared" ref="G391:H391" si="227">SUM(G392)</f>
        <v>0</v>
      </c>
      <c r="H391" s="12">
        <f t="shared" si="227"/>
        <v>0</v>
      </c>
    </row>
    <row r="392" spans="1:8" x14ac:dyDescent="0.25">
      <c r="A392" s="19">
        <f t="shared" si="226"/>
        <v>381</v>
      </c>
      <c r="B392" s="10" t="s">
        <v>319</v>
      </c>
      <c r="C392" s="11" t="s">
        <v>336</v>
      </c>
      <c r="D392" s="11" t="s">
        <v>374</v>
      </c>
      <c r="E392" s="11" t="s">
        <v>320</v>
      </c>
      <c r="F392" s="12">
        <v>14345</v>
      </c>
      <c r="G392" s="12">
        <v>0</v>
      </c>
      <c r="H392" s="12">
        <v>0</v>
      </c>
    </row>
    <row r="393" spans="1:8" ht="54" x14ac:dyDescent="0.25">
      <c r="A393" s="19">
        <f t="shared" si="226"/>
        <v>382</v>
      </c>
      <c r="B393" s="29" t="s">
        <v>375</v>
      </c>
      <c r="C393" s="30" t="s">
        <v>336</v>
      </c>
      <c r="D393" s="30" t="s">
        <v>376</v>
      </c>
      <c r="E393" s="30"/>
      <c r="F393" s="31">
        <f>SUM(F395+F394)</f>
        <v>26953.600000000002</v>
      </c>
      <c r="G393" s="31">
        <f t="shared" ref="G393:H393" si="228">SUM(G395+G394)</f>
        <v>0</v>
      </c>
      <c r="H393" s="31">
        <f t="shared" si="228"/>
        <v>0</v>
      </c>
    </row>
    <row r="394" spans="1:8" ht="54" x14ac:dyDescent="0.25">
      <c r="A394" s="19">
        <f t="shared" si="226"/>
        <v>383</v>
      </c>
      <c r="B394" s="29" t="s">
        <v>28</v>
      </c>
      <c r="C394" s="30" t="s">
        <v>336</v>
      </c>
      <c r="D394" s="30" t="s">
        <v>376</v>
      </c>
      <c r="E394" s="30">
        <v>240</v>
      </c>
      <c r="F394" s="31">
        <v>24659.47</v>
      </c>
      <c r="G394" s="12">
        <v>0</v>
      </c>
      <c r="H394" s="12">
        <v>0</v>
      </c>
    </row>
    <row r="395" spans="1:8" x14ac:dyDescent="0.25">
      <c r="A395" s="19">
        <f t="shared" si="226"/>
        <v>384</v>
      </c>
      <c r="B395" s="29" t="s">
        <v>319</v>
      </c>
      <c r="C395" s="30" t="s">
        <v>336</v>
      </c>
      <c r="D395" s="30" t="s">
        <v>376</v>
      </c>
      <c r="E395" s="30" t="s">
        <v>320</v>
      </c>
      <c r="F395" s="31">
        <f>1594.13+700</f>
        <v>2294.13</v>
      </c>
      <c r="G395" s="12">
        <v>0</v>
      </c>
      <c r="H395" s="12">
        <v>0</v>
      </c>
    </row>
    <row r="396" spans="1:8" ht="90" x14ac:dyDescent="0.25">
      <c r="A396" s="19">
        <f t="shared" si="226"/>
        <v>385</v>
      </c>
      <c r="B396" s="10" t="s">
        <v>782</v>
      </c>
      <c r="C396" s="11" t="s">
        <v>336</v>
      </c>
      <c r="D396" s="11" t="s">
        <v>393</v>
      </c>
      <c r="E396" s="11"/>
      <c r="F396" s="12">
        <f>SUM(F397)</f>
        <v>18171.2</v>
      </c>
      <c r="G396" s="12">
        <f t="shared" ref="G396:H396" si="229">SUM(G397)</f>
        <v>58655.4</v>
      </c>
      <c r="H396" s="12">
        <f t="shared" si="229"/>
        <v>36132.9</v>
      </c>
    </row>
    <row r="397" spans="1:8" ht="54" x14ac:dyDescent="0.25">
      <c r="A397" s="19">
        <f t="shared" si="226"/>
        <v>386</v>
      </c>
      <c r="B397" s="10" t="s">
        <v>28</v>
      </c>
      <c r="C397" s="11" t="s">
        <v>336</v>
      </c>
      <c r="D397" s="11" t="s">
        <v>393</v>
      </c>
      <c r="E397" s="11">
        <v>240</v>
      </c>
      <c r="F397" s="12">
        <v>18171.2</v>
      </c>
      <c r="G397" s="12">
        <v>58655.4</v>
      </c>
      <c r="H397" s="12">
        <v>36132.9</v>
      </c>
    </row>
    <row r="398" spans="1:8" ht="90" x14ac:dyDescent="0.25">
      <c r="A398" s="19">
        <f t="shared" si="226"/>
        <v>387</v>
      </c>
      <c r="B398" s="10" t="s">
        <v>781</v>
      </c>
      <c r="C398" s="11" t="s">
        <v>336</v>
      </c>
      <c r="D398" s="11" t="s">
        <v>394</v>
      </c>
      <c r="E398" s="11"/>
      <c r="F398" s="12">
        <f>SUM(F399)</f>
        <v>2019.1</v>
      </c>
      <c r="G398" s="12">
        <f t="shared" ref="G398:H398" si="230">SUM(G399)</f>
        <v>6517.27</v>
      </c>
      <c r="H398" s="12">
        <f t="shared" si="230"/>
        <v>4014.77</v>
      </c>
    </row>
    <row r="399" spans="1:8" ht="54" x14ac:dyDescent="0.25">
      <c r="A399" s="19">
        <f t="shared" si="226"/>
        <v>388</v>
      </c>
      <c r="B399" s="10" t="s">
        <v>28</v>
      </c>
      <c r="C399" s="11" t="s">
        <v>336</v>
      </c>
      <c r="D399" s="11" t="s">
        <v>394</v>
      </c>
      <c r="E399" s="11">
        <v>240</v>
      </c>
      <c r="F399" s="12">
        <v>2019.1</v>
      </c>
      <c r="G399" s="12">
        <v>6517.27</v>
      </c>
      <c r="H399" s="12">
        <v>4014.77</v>
      </c>
    </row>
    <row r="400" spans="1:8" ht="36" x14ac:dyDescent="0.25">
      <c r="A400" s="19">
        <f t="shared" si="226"/>
        <v>389</v>
      </c>
      <c r="B400" s="10" t="s">
        <v>192</v>
      </c>
      <c r="C400" s="11" t="s">
        <v>336</v>
      </c>
      <c r="D400" s="11" t="s">
        <v>193</v>
      </c>
      <c r="E400" s="11"/>
      <c r="F400" s="12">
        <f>SUM(F401)</f>
        <v>9114.15</v>
      </c>
      <c r="G400" s="12">
        <f t="shared" ref="G400:H400" si="231">SUM(G401)</f>
        <v>9220.4599999999991</v>
      </c>
      <c r="H400" s="12">
        <f t="shared" si="231"/>
        <v>5356.74</v>
      </c>
    </row>
    <row r="401" spans="1:8" ht="36" x14ac:dyDescent="0.25">
      <c r="A401" s="19">
        <f t="shared" si="226"/>
        <v>390</v>
      </c>
      <c r="B401" s="10" t="s">
        <v>377</v>
      </c>
      <c r="C401" s="11" t="s">
        <v>336</v>
      </c>
      <c r="D401" s="11" t="s">
        <v>378</v>
      </c>
      <c r="E401" s="11"/>
      <c r="F401" s="12">
        <f>SUM(F402:F403)</f>
        <v>9114.15</v>
      </c>
      <c r="G401" s="12">
        <f t="shared" ref="G401:H401" si="232">SUM(G402:G403)</f>
        <v>9220.4599999999991</v>
      </c>
      <c r="H401" s="12">
        <f t="shared" si="232"/>
        <v>5356.74</v>
      </c>
    </row>
    <row r="402" spans="1:8" ht="54" x14ac:dyDescent="0.25">
      <c r="A402" s="19">
        <f t="shared" si="226"/>
        <v>391</v>
      </c>
      <c r="B402" s="10" t="s">
        <v>28</v>
      </c>
      <c r="C402" s="11" t="s">
        <v>336</v>
      </c>
      <c r="D402" s="11" t="s">
        <v>378</v>
      </c>
      <c r="E402" s="11" t="s">
        <v>29</v>
      </c>
      <c r="F402" s="12">
        <v>4000</v>
      </c>
      <c r="G402" s="12">
        <v>4000</v>
      </c>
      <c r="H402" s="12">
        <v>0</v>
      </c>
    </row>
    <row r="403" spans="1:8" x14ac:dyDescent="0.25">
      <c r="A403" s="19">
        <f t="shared" si="226"/>
        <v>392</v>
      </c>
      <c r="B403" s="10" t="s">
        <v>137</v>
      </c>
      <c r="C403" s="11" t="s">
        <v>336</v>
      </c>
      <c r="D403" s="11" t="s">
        <v>378</v>
      </c>
      <c r="E403" s="11" t="s">
        <v>138</v>
      </c>
      <c r="F403" s="12">
        <v>5114.1499999999996</v>
      </c>
      <c r="G403" s="12">
        <v>5220.46</v>
      </c>
      <c r="H403" s="12">
        <v>5356.74</v>
      </c>
    </row>
    <row r="404" spans="1:8" ht="54" x14ac:dyDescent="0.25">
      <c r="A404" s="19">
        <f t="shared" si="226"/>
        <v>393</v>
      </c>
      <c r="B404" s="10" t="s">
        <v>379</v>
      </c>
      <c r="C404" s="11" t="s">
        <v>336</v>
      </c>
      <c r="D404" s="11" t="s">
        <v>380</v>
      </c>
      <c r="E404" s="11"/>
      <c r="F404" s="12">
        <f>SUM(F405+F407)</f>
        <v>3432</v>
      </c>
      <c r="G404" s="12">
        <f t="shared" ref="G404:H404" si="233">SUM(G405+G407)</f>
        <v>4803</v>
      </c>
      <c r="H404" s="12">
        <f t="shared" si="233"/>
        <v>4899</v>
      </c>
    </row>
    <row r="405" spans="1:8" ht="54" x14ac:dyDescent="0.25">
      <c r="A405" s="19">
        <f t="shared" si="226"/>
        <v>394</v>
      </c>
      <c r="B405" s="10" t="s">
        <v>381</v>
      </c>
      <c r="C405" s="11" t="s">
        <v>336</v>
      </c>
      <c r="D405" s="11" t="s">
        <v>382</v>
      </c>
      <c r="E405" s="11"/>
      <c r="F405" s="12">
        <f>SUM(F406)</f>
        <v>500</v>
      </c>
      <c r="G405" s="12">
        <f t="shared" ref="G405:H405" si="234">SUM(G406)</f>
        <v>500</v>
      </c>
      <c r="H405" s="12">
        <f t="shared" si="234"/>
        <v>500</v>
      </c>
    </row>
    <row r="406" spans="1:8" x14ac:dyDescent="0.25">
      <c r="A406" s="19">
        <f t="shared" si="221"/>
        <v>395</v>
      </c>
      <c r="B406" s="10" t="s">
        <v>137</v>
      </c>
      <c r="C406" s="11" t="s">
        <v>336</v>
      </c>
      <c r="D406" s="11" t="s">
        <v>382</v>
      </c>
      <c r="E406" s="11" t="s">
        <v>138</v>
      </c>
      <c r="F406" s="12">
        <v>500</v>
      </c>
      <c r="G406" s="12">
        <v>500</v>
      </c>
      <c r="H406" s="12">
        <v>500</v>
      </c>
    </row>
    <row r="407" spans="1:8" ht="66" x14ac:dyDescent="0.25">
      <c r="A407" s="19">
        <f t="shared" si="221"/>
        <v>396</v>
      </c>
      <c r="B407" s="26" t="s">
        <v>383</v>
      </c>
      <c r="C407" s="27" t="s">
        <v>336</v>
      </c>
      <c r="D407" s="27" t="s">
        <v>384</v>
      </c>
      <c r="E407" s="27"/>
      <c r="F407" s="28">
        <f>SUM(F408:F409)</f>
        <v>2932</v>
      </c>
      <c r="G407" s="28">
        <f t="shared" ref="G407:H407" si="235">SUM(G408)</f>
        <v>4303</v>
      </c>
      <c r="H407" s="28">
        <f t="shared" si="235"/>
        <v>4399</v>
      </c>
    </row>
    <row r="408" spans="1:8" ht="49.5" x14ac:dyDescent="0.25">
      <c r="A408" s="19">
        <f t="shared" si="221"/>
        <v>397</v>
      </c>
      <c r="B408" s="26" t="s">
        <v>28</v>
      </c>
      <c r="C408" s="27" t="s">
        <v>336</v>
      </c>
      <c r="D408" s="27" t="s">
        <v>384</v>
      </c>
      <c r="E408" s="27" t="s">
        <v>29</v>
      </c>
      <c r="F408" s="28">
        <f>2232</f>
        <v>2232</v>
      </c>
      <c r="G408" s="28">
        <v>4303</v>
      </c>
      <c r="H408" s="28">
        <v>4399</v>
      </c>
    </row>
    <row r="409" spans="1:8" x14ac:dyDescent="0.25">
      <c r="A409" s="19">
        <f t="shared" si="221"/>
        <v>398</v>
      </c>
      <c r="B409" s="26" t="s">
        <v>137</v>
      </c>
      <c r="C409" s="27" t="s">
        <v>336</v>
      </c>
      <c r="D409" s="27" t="s">
        <v>384</v>
      </c>
      <c r="E409" s="27">
        <v>610</v>
      </c>
      <c r="F409" s="28">
        <v>700</v>
      </c>
      <c r="G409" s="28">
        <v>0</v>
      </c>
      <c r="H409" s="28">
        <v>0</v>
      </c>
    </row>
    <row r="410" spans="1:8" x14ac:dyDescent="0.25">
      <c r="A410" s="19">
        <f t="shared" si="221"/>
        <v>399</v>
      </c>
      <c r="B410" s="10" t="s">
        <v>22</v>
      </c>
      <c r="C410" s="11" t="s">
        <v>336</v>
      </c>
      <c r="D410" s="11" t="s">
        <v>23</v>
      </c>
      <c r="E410" s="11"/>
      <c r="F410" s="12">
        <f>SUM(F411+F415+F413)</f>
        <v>15895.48</v>
      </c>
      <c r="G410" s="12">
        <f t="shared" ref="G410:H410" si="236">SUM(G411+G415+G413)</f>
        <v>0</v>
      </c>
      <c r="H410" s="12">
        <f t="shared" si="236"/>
        <v>0</v>
      </c>
    </row>
    <row r="411" spans="1:8" ht="54" x14ac:dyDescent="0.25">
      <c r="A411" s="19">
        <f t="shared" si="221"/>
        <v>400</v>
      </c>
      <c r="B411" s="10" t="s">
        <v>385</v>
      </c>
      <c r="C411" s="11" t="s">
        <v>336</v>
      </c>
      <c r="D411" s="11" t="s">
        <v>386</v>
      </c>
      <c r="E411" s="11"/>
      <c r="F411" s="12">
        <f>SUM(F412)</f>
        <v>12000</v>
      </c>
      <c r="G411" s="12">
        <f t="shared" ref="G411:H411" si="237">SUM(G412)</f>
        <v>0</v>
      </c>
      <c r="H411" s="12">
        <f t="shared" si="237"/>
        <v>0</v>
      </c>
    </row>
    <row r="412" spans="1:8" ht="90" x14ac:dyDescent="0.25">
      <c r="A412" s="19">
        <f t="shared" si="221"/>
        <v>401</v>
      </c>
      <c r="B412" s="10" t="s">
        <v>387</v>
      </c>
      <c r="C412" s="11" t="s">
        <v>336</v>
      </c>
      <c r="D412" s="11" t="s">
        <v>386</v>
      </c>
      <c r="E412" s="11" t="s">
        <v>388</v>
      </c>
      <c r="F412" s="12">
        <v>12000</v>
      </c>
      <c r="G412" s="12">
        <v>0</v>
      </c>
      <c r="H412" s="12">
        <v>0</v>
      </c>
    </row>
    <row r="413" spans="1:8" ht="72" x14ac:dyDescent="0.25">
      <c r="A413" s="19">
        <f t="shared" si="226"/>
        <v>402</v>
      </c>
      <c r="B413" s="10" t="s">
        <v>798</v>
      </c>
      <c r="C413" s="11" t="s">
        <v>336</v>
      </c>
      <c r="D413" s="11">
        <v>7000142800</v>
      </c>
      <c r="E413" s="11"/>
      <c r="F413" s="12">
        <f>SUM(F414)</f>
        <v>3877.5</v>
      </c>
      <c r="G413" s="12">
        <f t="shared" ref="G413:H413" si="238">SUM(G414)</f>
        <v>0</v>
      </c>
      <c r="H413" s="12">
        <f t="shared" si="238"/>
        <v>0</v>
      </c>
    </row>
    <row r="414" spans="1:8" ht="90" x14ac:dyDescent="0.25">
      <c r="A414" s="19">
        <f t="shared" si="226"/>
        <v>403</v>
      </c>
      <c r="B414" s="10" t="s">
        <v>387</v>
      </c>
      <c r="C414" s="11" t="s">
        <v>336</v>
      </c>
      <c r="D414" s="11">
        <v>7000142800</v>
      </c>
      <c r="E414" s="11">
        <v>840</v>
      </c>
      <c r="F414" s="12">
        <v>3877.5</v>
      </c>
      <c r="G414" s="12">
        <v>0</v>
      </c>
      <c r="H414" s="12">
        <v>0</v>
      </c>
    </row>
    <row r="415" spans="1:8" ht="54" x14ac:dyDescent="0.25">
      <c r="A415" s="19">
        <f t="shared" si="226"/>
        <v>404</v>
      </c>
      <c r="B415" s="10" t="s">
        <v>793</v>
      </c>
      <c r="C415" s="11" t="s">
        <v>336</v>
      </c>
      <c r="D415" s="24" t="s">
        <v>792</v>
      </c>
      <c r="E415" s="11"/>
      <c r="F415" s="12">
        <f>SUM(F416)</f>
        <v>17.98</v>
      </c>
      <c r="G415" s="12">
        <f t="shared" ref="G415:H415" si="239">SUM(G416)</f>
        <v>0</v>
      </c>
      <c r="H415" s="12">
        <f t="shared" si="239"/>
        <v>0</v>
      </c>
    </row>
    <row r="416" spans="1:8" ht="36" x14ac:dyDescent="0.25">
      <c r="A416" s="19">
        <f t="shared" si="226"/>
        <v>405</v>
      </c>
      <c r="B416" s="10" t="s">
        <v>40</v>
      </c>
      <c r="C416" s="11" t="s">
        <v>336</v>
      </c>
      <c r="D416" s="24" t="s">
        <v>792</v>
      </c>
      <c r="E416" s="11">
        <v>850</v>
      </c>
      <c r="F416" s="12">
        <v>17.98</v>
      </c>
      <c r="G416" s="12">
        <v>0</v>
      </c>
      <c r="H416" s="12">
        <v>0</v>
      </c>
    </row>
    <row r="417" spans="1:8" x14ac:dyDescent="0.25">
      <c r="A417" s="18">
        <f t="shared" si="226"/>
        <v>406</v>
      </c>
      <c r="B417" s="14" t="s">
        <v>389</v>
      </c>
      <c r="C417" s="15" t="s">
        <v>390</v>
      </c>
      <c r="D417" s="15"/>
      <c r="E417" s="15"/>
      <c r="F417" s="16">
        <f>SUM(F418+F448)</f>
        <v>181999.15999999997</v>
      </c>
      <c r="G417" s="16">
        <f t="shared" ref="G417:H417" si="240">SUM(G418+G448)</f>
        <v>94883.72</v>
      </c>
      <c r="H417" s="16">
        <f t="shared" si="240"/>
        <v>181668.22</v>
      </c>
    </row>
    <row r="418" spans="1:8" ht="72" x14ac:dyDescent="0.25">
      <c r="A418" s="19">
        <f t="shared" si="226"/>
        <v>407</v>
      </c>
      <c r="B418" s="10" t="s">
        <v>190</v>
      </c>
      <c r="C418" s="11" t="s">
        <v>390</v>
      </c>
      <c r="D418" s="11" t="s">
        <v>191</v>
      </c>
      <c r="E418" s="11"/>
      <c r="F418" s="12">
        <f>SUM(F419+F426+F441)</f>
        <v>81968.459999999992</v>
      </c>
      <c r="G418" s="12">
        <f t="shared" ref="G418:H418" si="241">SUM(G419+G426+G441)</f>
        <v>73516.23</v>
      </c>
      <c r="H418" s="12">
        <f t="shared" si="241"/>
        <v>72283.3</v>
      </c>
    </row>
    <row r="419" spans="1:8" ht="72" x14ac:dyDescent="0.25">
      <c r="A419" s="19">
        <f t="shared" si="226"/>
        <v>408</v>
      </c>
      <c r="B419" s="10" t="s">
        <v>365</v>
      </c>
      <c r="C419" s="11" t="s">
        <v>390</v>
      </c>
      <c r="D419" s="11" t="s">
        <v>366</v>
      </c>
      <c r="E419" s="11"/>
      <c r="F419" s="12">
        <f>SUM(F420+F422+F424)</f>
        <v>3700</v>
      </c>
      <c r="G419" s="12">
        <f t="shared" ref="G419:H419" si="242">SUM(G420+G422+G424)</f>
        <v>1000</v>
      </c>
      <c r="H419" s="12">
        <f t="shared" si="242"/>
        <v>0</v>
      </c>
    </row>
    <row r="420" spans="1:8" ht="108" x14ac:dyDescent="0.25">
      <c r="A420" s="19">
        <f t="shared" si="226"/>
        <v>409</v>
      </c>
      <c r="B420" s="10" t="s">
        <v>391</v>
      </c>
      <c r="C420" s="11" t="s">
        <v>390</v>
      </c>
      <c r="D420" s="11" t="s">
        <v>392</v>
      </c>
      <c r="E420" s="11"/>
      <c r="F420" s="12">
        <f>SUM(F421)</f>
        <v>3700</v>
      </c>
      <c r="G420" s="12">
        <f t="shared" ref="G420:H420" si="243">SUM(G421)</f>
        <v>1000</v>
      </c>
      <c r="H420" s="12">
        <f t="shared" si="243"/>
        <v>0</v>
      </c>
    </row>
    <row r="421" spans="1:8" ht="54" x14ac:dyDescent="0.25">
      <c r="A421" s="19">
        <f t="shared" si="226"/>
        <v>410</v>
      </c>
      <c r="B421" s="10" t="s">
        <v>28</v>
      </c>
      <c r="C421" s="11" t="s">
        <v>390</v>
      </c>
      <c r="D421" s="11" t="s">
        <v>392</v>
      </c>
      <c r="E421" s="11" t="s">
        <v>29</v>
      </c>
      <c r="F421" s="12">
        <v>3700</v>
      </c>
      <c r="G421" s="12">
        <v>1000</v>
      </c>
      <c r="H421" s="12">
        <v>0</v>
      </c>
    </row>
    <row r="422" spans="1:8" ht="90" x14ac:dyDescent="0.25">
      <c r="A422" s="19">
        <f t="shared" si="226"/>
        <v>411</v>
      </c>
      <c r="B422" s="10" t="s">
        <v>781</v>
      </c>
      <c r="C422" s="11" t="s">
        <v>390</v>
      </c>
      <c r="D422" s="11" t="s">
        <v>393</v>
      </c>
      <c r="E422" s="11"/>
      <c r="F422" s="12">
        <f>SUM(F423)</f>
        <v>0</v>
      </c>
      <c r="G422" s="12">
        <f t="shared" ref="G422:H422" si="244">SUM(G423)</f>
        <v>0</v>
      </c>
      <c r="H422" s="12">
        <f t="shared" si="244"/>
        <v>0</v>
      </c>
    </row>
    <row r="423" spans="1:8" x14ac:dyDescent="0.25">
      <c r="A423" s="19">
        <f t="shared" si="226"/>
        <v>412</v>
      </c>
      <c r="B423" s="10" t="s">
        <v>319</v>
      </c>
      <c r="C423" s="11" t="s">
        <v>390</v>
      </c>
      <c r="D423" s="11" t="s">
        <v>393</v>
      </c>
      <c r="E423" s="11" t="s">
        <v>320</v>
      </c>
      <c r="F423" s="12">
        <v>0</v>
      </c>
      <c r="G423" s="12">
        <f>58655.4-58655.4</f>
        <v>0</v>
      </c>
      <c r="H423" s="12">
        <f>36132.9-36132.9</f>
        <v>0</v>
      </c>
    </row>
    <row r="424" spans="1:8" ht="90" x14ac:dyDescent="0.25">
      <c r="A424" s="19">
        <f t="shared" si="226"/>
        <v>413</v>
      </c>
      <c r="B424" s="10" t="s">
        <v>781</v>
      </c>
      <c r="C424" s="11" t="s">
        <v>390</v>
      </c>
      <c r="D424" s="11" t="s">
        <v>394</v>
      </c>
      <c r="E424" s="11"/>
      <c r="F424" s="12">
        <f>SUM(F425)</f>
        <v>0</v>
      </c>
      <c r="G424" s="12">
        <f t="shared" ref="G424:H424" si="245">SUM(G425)</f>
        <v>0</v>
      </c>
      <c r="H424" s="12">
        <f t="shared" si="245"/>
        <v>0</v>
      </c>
    </row>
    <row r="425" spans="1:8" x14ac:dyDescent="0.25">
      <c r="A425" s="19">
        <f t="shared" si="226"/>
        <v>414</v>
      </c>
      <c r="B425" s="10" t="s">
        <v>319</v>
      </c>
      <c r="C425" s="11" t="s">
        <v>390</v>
      </c>
      <c r="D425" s="11" t="s">
        <v>394</v>
      </c>
      <c r="E425" s="11" t="s">
        <v>320</v>
      </c>
      <c r="F425" s="12">
        <v>0</v>
      </c>
      <c r="G425" s="12">
        <f>6517.27-6517.27</f>
        <v>0</v>
      </c>
      <c r="H425" s="12">
        <f>4014.77-4014.77</f>
        <v>0</v>
      </c>
    </row>
    <row r="426" spans="1:8" ht="36" x14ac:dyDescent="0.25">
      <c r="A426" s="19">
        <f t="shared" si="226"/>
        <v>415</v>
      </c>
      <c r="B426" s="10" t="s">
        <v>192</v>
      </c>
      <c r="C426" s="11" t="s">
        <v>390</v>
      </c>
      <c r="D426" s="11" t="s">
        <v>193</v>
      </c>
      <c r="E426" s="11"/>
      <c r="F426" s="12">
        <f>SUM(F427+F429+F431+F433+F435+F437+F439)</f>
        <v>66046</v>
      </c>
      <c r="G426" s="12">
        <f t="shared" ref="G426:H426" si="246">SUM(G427+G429+G431+G433+G435+G437+G439)</f>
        <v>64264.53</v>
      </c>
      <c r="H426" s="12">
        <f t="shared" si="246"/>
        <v>64106.8</v>
      </c>
    </row>
    <row r="427" spans="1:8" ht="36" x14ac:dyDescent="0.25">
      <c r="A427" s="19">
        <f t="shared" si="226"/>
        <v>416</v>
      </c>
      <c r="B427" s="10" t="s">
        <v>395</v>
      </c>
      <c r="C427" s="11" t="s">
        <v>390</v>
      </c>
      <c r="D427" s="11" t="s">
        <v>396</v>
      </c>
      <c r="E427" s="11"/>
      <c r="F427" s="12">
        <f>SUM(F428)</f>
        <v>416</v>
      </c>
      <c r="G427" s="12">
        <f t="shared" ref="G427:H427" si="247">SUM(G428)</f>
        <v>0</v>
      </c>
      <c r="H427" s="12">
        <f t="shared" si="247"/>
        <v>0</v>
      </c>
    </row>
    <row r="428" spans="1:8" ht="54" x14ac:dyDescent="0.25">
      <c r="A428" s="19">
        <f t="shared" si="221"/>
        <v>417</v>
      </c>
      <c r="B428" s="10" t="s">
        <v>28</v>
      </c>
      <c r="C428" s="11" t="s">
        <v>390</v>
      </c>
      <c r="D428" s="11" t="s">
        <v>396</v>
      </c>
      <c r="E428" s="11" t="s">
        <v>29</v>
      </c>
      <c r="F428" s="12">
        <v>416</v>
      </c>
      <c r="G428" s="12">
        <v>0</v>
      </c>
      <c r="H428" s="12">
        <v>0</v>
      </c>
    </row>
    <row r="429" spans="1:8" ht="36" x14ac:dyDescent="0.25">
      <c r="A429" s="19">
        <f t="shared" si="221"/>
        <v>418</v>
      </c>
      <c r="B429" s="10" t="s">
        <v>397</v>
      </c>
      <c r="C429" s="11" t="s">
        <v>390</v>
      </c>
      <c r="D429" s="11" t="s">
        <v>398</v>
      </c>
      <c r="E429" s="11"/>
      <c r="F429" s="12">
        <f>SUM(F430)</f>
        <v>1000</v>
      </c>
      <c r="G429" s="12">
        <f t="shared" ref="G429:H429" si="248">SUM(G430)</f>
        <v>0</v>
      </c>
      <c r="H429" s="12">
        <f t="shared" si="248"/>
        <v>0</v>
      </c>
    </row>
    <row r="430" spans="1:8" ht="54" x14ac:dyDescent="0.25">
      <c r="A430" s="19">
        <f t="shared" si="221"/>
        <v>419</v>
      </c>
      <c r="B430" s="10" t="s">
        <v>28</v>
      </c>
      <c r="C430" s="11" t="s">
        <v>390</v>
      </c>
      <c r="D430" s="11" t="s">
        <v>398</v>
      </c>
      <c r="E430" s="11" t="s">
        <v>29</v>
      </c>
      <c r="F430" s="12">
        <v>1000</v>
      </c>
      <c r="G430" s="12">
        <v>0</v>
      </c>
      <c r="H430" s="12">
        <v>0</v>
      </c>
    </row>
    <row r="431" spans="1:8" ht="36" x14ac:dyDescent="0.25">
      <c r="A431" s="19">
        <f t="shared" si="221"/>
        <v>420</v>
      </c>
      <c r="B431" s="10" t="s">
        <v>399</v>
      </c>
      <c r="C431" s="11" t="s">
        <v>390</v>
      </c>
      <c r="D431" s="11" t="s">
        <v>400</v>
      </c>
      <c r="E431" s="11"/>
      <c r="F431" s="12">
        <f>SUM(F432)</f>
        <v>780</v>
      </c>
      <c r="G431" s="12">
        <f t="shared" ref="G431:H431" si="249">SUM(G432)</f>
        <v>0</v>
      </c>
      <c r="H431" s="12">
        <f t="shared" si="249"/>
        <v>0</v>
      </c>
    </row>
    <row r="432" spans="1:8" ht="54" x14ac:dyDescent="0.25">
      <c r="A432" s="19">
        <f t="shared" si="221"/>
        <v>421</v>
      </c>
      <c r="B432" s="10" t="s">
        <v>28</v>
      </c>
      <c r="C432" s="11" t="s">
        <v>390</v>
      </c>
      <c r="D432" s="11" t="s">
        <v>400</v>
      </c>
      <c r="E432" s="11" t="s">
        <v>29</v>
      </c>
      <c r="F432" s="12">
        <v>780</v>
      </c>
      <c r="G432" s="12">
        <v>0</v>
      </c>
      <c r="H432" s="12">
        <v>0</v>
      </c>
    </row>
    <row r="433" spans="1:8" x14ac:dyDescent="0.25">
      <c r="A433" s="19">
        <f t="shared" si="221"/>
        <v>422</v>
      </c>
      <c r="B433" s="10" t="s">
        <v>401</v>
      </c>
      <c r="C433" s="11" t="s">
        <v>390</v>
      </c>
      <c r="D433" s="11" t="s">
        <v>402</v>
      </c>
      <c r="E433" s="11"/>
      <c r="F433" s="12">
        <f>SUM(F434)</f>
        <v>1600</v>
      </c>
      <c r="G433" s="12">
        <f t="shared" ref="G433:H433" si="250">SUM(G434)</f>
        <v>1600</v>
      </c>
      <c r="H433" s="12">
        <f t="shared" si="250"/>
        <v>1600</v>
      </c>
    </row>
    <row r="434" spans="1:8" ht="54" x14ac:dyDescent="0.25">
      <c r="A434" s="19">
        <f t="shared" si="221"/>
        <v>423</v>
      </c>
      <c r="B434" s="10" t="s">
        <v>28</v>
      </c>
      <c r="C434" s="11" t="s">
        <v>390</v>
      </c>
      <c r="D434" s="11" t="s">
        <v>402</v>
      </c>
      <c r="E434" s="11" t="s">
        <v>29</v>
      </c>
      <c r="F434" s="12">
        <v>1600</v>
      </c>
      <c r="G434" s="12">
        <v>1600</v>
      </c>
      <c r="H434" s="12">
        <v>1600</v>
      </c>
    </row>
    <row r="435" spans="1:8" ht="54" x14ac:dyDescent="0.25">
      <c r="A435" s="19">
        <f t="shared" si="226"/>
        <v>424</v>
      </c>
      <c r="B435" s="10" t="s">
        <v>403</v>
      </c>
      <c r="C435" s="11" t="s">
        <v>390</v>
      </c>
      <c r="D435" s="11" t="s">
        <v>404</v>
      </c>
      <c r="E435" s="11"/>
      <c r="F435" s="12">
        <f>SUM(F436)</f>
        <v>51820</v>
      </c>
      <c r="G435" s="12">
        <f t="shared" ref="G435:H435" si="251">SUM(G436)</f>
        <v>52234.53</v>
      </c>
      <c r="H435" s="12">
        <f t="shared" si="251"/>
        <v>52076.800000000003</v>
      </c>
    </row>
    <row r="436" spans="1:8" ht="54" x14ac:dyDescent="0.25">
      <c r="A436" s="19">
        <f t="shared" si="226"/>
        <v>425</v>
      </c>
      <c r="B436" s="10" t="s">
        <v>28</v>
      </c>
      <c r="C436" s="11" t="s">
        <v>390</v>
      </c>
      <c r="D436" s="11" t="s">
        <v>404</v>
      </c>
      <c r="E436" s="11" t="s">
        <v>29</v>
      </c>
      <c r="F436" s="12">
        <v>51820</v>
      </c>
      <c r="G436" s="12">
        <v>52234.53</v>
      </c>
      <c r="H436" s="12">
        <v>52076.800000000003</v>
      </c>
    </row>
    <row r="437" spans="1:8" ht="54" x14ac:dyDescent="0.25">
      <c r="A437" s="19">
        <f t="shared" si="226"/>
        <v>426</v>
      </c>
      <c r="B437" s="10" t="s">
        <v>405</v>
      </c>
      <c r="C437" s="11" t="s">
        <v>390</v>
      </c>
      <c r="D437" s="11" t="s">
        <v>406</v>
      </c>
      <c r="E437" s="11"/>
      <c r="F437" s="12">
        <f>SUM(F438)</f>
        <v>10130</v>
      </c>
      <c r="G437" s="12">
        <f t="shared" ref="G437:H437" si="252">SUM(G438)</f>
        <v>10130</v>
      </c>
      <c r="H437" s="12">
        <f t="shared" si="252"/>
        <v>10130</v>
      </c>
    </row>
    <row r="438" spans="1:8" ht="54" x14ac:dyDescent="0.25">
      <c r="A438" s="19">
        <f t="shared" si="226"/>
        <v>427</v>
      </c>
      <c r="B438" s="10" t="s">
        <v>28</v>
      </c>
      <c r="C438" s="11" t="s">
        <v>390</v>
      </c>
      <c r="D438" s="11" t="s">
        <v>406</v>
      </c>
      <c r="E438" s="11" t="s">
        <v>29</v>
      </c>
      <c r="F438" s="12">
        <v>10130</v>
      </c>
      <c r="G438" s="12">
        <v>10130</v>
      </c>
      <c r="H438" s="12">
        <v>10130</v>
      </c>
    </row>
    <row r="439" spans="1:8" x14ac:dyDescent="0.25">
      <c r="A439" s="19">
        <f t="shared" si="226"/>
        <v>428</v>
      </c>
      <c r="B439" s="10" t="s">
        <v>407</v>
      </c>
      <c r="C439" s="11" t="s">
        <v>390</v>
      </c>
      <c r="D439" s="11" t="s">
        <v>408</v>
      </c>
      <c r="E439" s="11"/>
      <c r="F439" s="12">
        <f>SUM(F440)</f>
        <v>300</v>
      </c>
      <c r="G439" s="12">
        <f t="shared" ref="G439:H439" si="253">SUM(G440)</f>
        <v>300</v>
      </c>
      <c r="H439" s="12">
        <f t="shared" si="253"/>
        <v>300</v>
      </c>
    </row>
    <row r="440" spans="1:8" ht="54" x14ac:dyDescent="0.25">
      <c r="A440" s="19">
        <f t="shared" si="226"/>
        <v>429</v>
      </c>
      <c r="B440" s="10" t="s">
        <v>28</v>
      </c>
      <c r="C440" s="11" t="s">
        <v>390</v>
      </c>
      <c r="D440" s="11" t="s">
        <v>408</v>
      </c>
      <c r="E440" s="11" t="s">
        <v>29</v>
      </c>
      <c r="F440" s="12">
        <v>300</v>
      </c>
      <c r="G440" s="12">
        <v>300</v>
      </c>
      <c r="H440" s="12">
        <v>300</v>
      </c>
    </row>
    <row r="441" spans="1:8" ht="54" x14ac:dyDescent="0.25">
      <c r="A441" s="19">
        <f t="shared" si="226"/>
        <v>430</v>
      </c>
      <c r="B441" s="10" t="s">
        <v>409</v>
      </c>
      <c r="C441" s="11" t="s">
        <v>390</v>
      </c>
      <c r="D441" s="11" t="s">
        <v>410</v>
      </c>
      <c r="E441" s="11"/>
      <c r="F441" s="12">
        <f>SUM(F442+F446+F444)</f>
        <v>12222.46</v>
      </c>
      <c r="G441" s="12">
        <f t="shared" ref="G441:H441" si="254">SUM(G442+G446+G444)</f>
        <v>8251.7000000000007</v>
      </c>
      <c r="H441" s="12">
        <f t="shared" si="254"/>
        <v>8176.5</v>
      </c>
    </row>
    <row r="442" spans="1:8" ht="54" x14ac:dyDescent="0.25">
      <c r="A442" s="19">
        <f t="shared" si="226"/>
        <v>431</v>
      </c>
      <c r="B442" s="10" t="s">
        <v>411</v>
      </c>
      <c r="C442" s="11" t="s">
        <v>390</v>
      </c>
      <c r="D442" s="11" t="s">
        <v>412</v>
      </c>
      <c r="E442" s="11"/>
      <c r="F442" s="12">
        <f>SUM(F443)</f>
        <v>9068.4599999999991</v>
      </c>
      <c r="G442" s="12">
        <f t="shared" ref="G442:H442" si="255">SUM(G443)</f>
        <v>7901.7</v>
      </c>
      <c r="H442" s="12">
        <f t="shared" si="255"/>
        <v>8176.5</v>
      </c>
    </row>
    <row r="443" spans="1:8" x14ac:dyDescent="0.25">
      <c r="A443" s="19">
        <f t="shared" si="226"/>
        <v>432</v>
      </c>
      <c r="B443" s="10" t="s">
        <v>137</v>
      </c>
      <c r="C443" s="11" t="s">
        <v>390</v>
      </c>
      <c r="D443" s="11" t="s">
        <v>412</v>
      </c>
      <c r="E443" s="11" t="s">
        <v>138</v>
      </c>
      <c r="F443" s="12">
        <f>7979.7+1088.76</f>
        <v>9068.4599999999991</v>
      </c>
      <c r="G443" s="12">
        <v>7901.7</v>
      </c>
      <c r="H443" s="12">
        <v>8176.5</v>
      </c>
    </row>
    <row r="444" spans="1:8" ht="72" x14ac:dyDescent="0.25">
      <c r="A444" s="19">
        <f t="shared" si="226"/>
        <v>433</v>
      </c>
      <c r="B444" s="10" t="s">
        <v>790</v>
      </c>
      <c r="C444" s="11" t="s">
        <v>390</v>
      </c>
      <c r="D444" s="24" t="s">
        <v>791</v>
      </c>
      <c r="E444" s="11"/>
      <c r="F444" s="12">
        <f>SUM(F445)</f>
        <v>2804</v>
      </c>
      <c r="G444" s="12">
        <f>SUM(G445)</f>
        <v>0</v>
      </c>
      <c r="H444" s="12">
        <f>SUM(H445)</f>
        <v>0</v>
      </c>
    </row>
    <row r="445" spans="1:8" x14ac:dyDescent="0.25">
      <c r="A445" s="19">
        <f t="shared" si="226"/>
        <v>434</v>
      </c>
      <c r="B445" s="10" t="s">
        <v>137</v>
      </c>
      <c r="C445" s="11" t="s">
        <v>390</v>
      </c>
      <c r="D445" s="24" t="s">
        <v>791</v>
      </c>
      <c r="E445" s="11">
        <v>610</v>
      </c>
      <c r="F445" s="12">
        <v>2804</v>
      </c>
      <c r="G445" s="12"/>
      <c r="H445" s="12"/>
    </row>
    <row r="446" spans="1:8" ht="36" x14ac:dyDescent="0.25">
      <c r="A446" s="19">
        <f t="shared" si="226"/>
        <v>435</v>
      </c>
      <c r="B446" s="10" t="s">
        <v>413</v>
      </c>
      <c r="C446" s="11" t="s">
        <v>390</v>
      </c>
      <c r="D446" s="11" t="s">
        <v>414</v>
      </c>
      <c r="E446" s="11"/>
      <c r="F446" s="12">
        <f>SUM(F447)</f>
        <v>350</v>
      </c>
      <c r="G446" s="12">
        <f t="shared" ref="G446:H446" si="256">SUM(G447)</f>
        <v>350</v>
      </c>
      <c r="H446" s="12">
        <f t="shared" si="256"/>
        <v>0</v>
      </c>
    </row>
    <row r="447" spans="1:8" ht="54" x14ac:dyDescent="0.25">
      <c r="A447" s="19">
        <f t="shared" si="226"/>
        <v>436</v>
      </c>
      <c r="B447" s="10" t="s">
        <v>28</v>
      </c>
      <c r="C447" s="11" t="s">
        <v>390</v>
      </c>
      <c r="D447" s="11" t="s">
        <v>414</v>
      </c>
      <c r="E447" s="11" t="s">
        <v>29</v>
      </c>
      <c r="F447" s="12">
        <v>350</v>
      </c>
      <c r="G447" s="12">
        <v>350</v>
      </c>
      <c r="H447" s="12">
        <v>0</v>
      </c>
    </row>
    <row r="448" spans="1:8" ht="72" x14ac:dyDescent="0.25">
      <c r="A448" s="19">
        <f t="shared" si="226"/>
        <v>437</v>
      </c>
      <c r="B448" s="10" t="s">
        <v>818</v>
      </c>
      <c r="C448" s="11" t="s">
        <v>390</v>
      </c>
      <c r="D448" s="11" t="s">
        <v>415</v>
      </c>
      <c r="E448" s="11"/>
      <c r="F448" s="12">
        <f>SUM(F449+F452)</f>
        <v>100030.7</v>
      </c>
      <c r="G448" s="12">
        <f t="shared" ref="G448:H448" si="257">SUM(G449+G452)</f>
        <v>21367.489999999998</v>
      </c>
      <c r="H448" s="12">
        <f t="shared" si="257"/>
        <v>109384.92</v>
      </c>
    </row>
    <row r="449" spans="1:8" ht="54" x14ac:dyDescent="0.25">
      <c r="A449" s="19">
        <f t="shared" si="226"/>
        <v>438</v>
      </c>
      <c r="B449" s="10" t="s">
        <v>416</v>
      </c>
      <c r="C449" s="11" t="s">
        <v>390</v>
      </c>
      <c r="D449" s="11" t="s">
        <v>417</v>
      </c>
      <c r="E449" s="11"/>
      <c r="F449" s="12">
        <f>SUM(F450)</f>
        <v>800</v>
      </c>
      <c r="G449" s="12">
        <f t="shared" ref="G449:H449" si="258">SUM(G450)</f>
        <v>500</v>
      </c>
      <c r="H449" s="12">
        <f t="shared" si="258"/>
        <v>500</v>
      </c>
    </row>
    <row r="450" spans="1:8" ht="90" x14ac:dyDescent="0.25">
      <c r="A450" s="19">
        <f t="shared" ref="A450:A500" si="259">SUM(A449+1)</f>
        <v>439</v>
      </c>
      <c r="B450" s="10" t="s">
        <v>418</v>
      </c>
      <c r="C450" s="11" t="s">
        <v>390</v>
      </c>
      <c r="D450" s="11" t="s">
        <v>419</v>
      </c>
      <c r="E450" s="11"/>
      <c r="F450" s="12">
        <f>SUM(F451)</f>
        <v>800</v>
      </c>
      <c r="G450" s="12">
        <f t="shared" ref="G450:H450" si="260">SUM(G451)</f>
        <v>500</v>
      </c>
      <c r="H450" s="12">
        <f t="shared" si="260"/>
        <v>500</v>
      </c>
    </row>
    <row r="451" spans="1:8" x14ac:dyDescent="0.25">
      <c r="A451" s="19">
        <f t="shared" si="259"/>
        <v>440</v>
      </c>
      <c r="B451" s="10" t="s">
        <v>137</v>
      </c>
      <c r="C451" s="11" t="s">
        <v>390</v>
      </c>
      <c r="D451" s="11" t="s">
        <v>419</v>
      </c>
      <c r="E451" s="11">
        <v>610</v>
      </c>
      <c r="F451" s="12">
        <f>500+300</f>
        <v>800</v>
      </c>
      <c r="G451" s="12">
        <v>500</v>
      </c>
      <c r="H451" s="12">
        <v>500</v>
      </c>
    </row>
    <row r="452" spans="1:8" ht="54" x14ac:dyDescent="0.25">
      <c r="A452" s="19">
        <f t="shared" si="259"/>
        <v>441</v>
      </c>
      <c r="B452" s="10" t="s">
        <v>420</v>
      </c>
      <c r="C452" s="11" t="s">
        <v>390</v>
      </c>
      <c r="D452" s="11" t="s">
        <v>421</v>
      </c>
      <c r="E452" s="11"/>
      <c r="F452" s="12">
        <f>SUM(F453+F455+F458+F460+F462)</f>
        <v>99230.7</v>
      </c>
      <c r="G452" s="12">
        <f t="shared" ref="G452:H452" si="261">SUM(G453+G455+G458+G460+G462)</f>
        <v>20867.489999999998</v>
      </c>
      <c r="H452" s="12">
        <f t="shared" si="261"/>
        <v>108884.92</v>
      </c>
    </row>
    <row r="453" spans="1:8" ht="72" x14ac:dyDescent="0.25">
      <c r="A453" s="19">
        <f t="shared" si="259"/>
        <v>442</v>
      </c>
      <c r="B453" s="10" t="s">
        <v>422</v>
      </c>
      <c r="C453" s="11" t="s">
        <v>390</v>
      </c>
      <c r="D453" s="11" t="s">
        <v>423</v>
      </c>
      <c r="E453" s="11"/>
      <c r="F453" s="12">
        <f>SUM(F454)</f>
        <v>5043.7</v>
      </c>
      <c r="G453" s="12">
        <f t="shared" ref="G453:H453" si="262">SUM(G454)</f>
        <v>5043.6899999999996</v>
      </c>
      <c r="H453" s="12">
        <f t="shared" si="262"/>
        <v>5043.7</v>
      </c>
    </row>
    <row r="454" spans="1:8" x14ac:dyDescent="0.25">
      <c r="A454" s="19">
        <f t="shared" si="259"/>
        <v>443</v>
      </c>
      <c r="B454" s="10" t="s">
        <v>137</v>
      </c>
      <c r="C454" s="11" t="s">
        <v>390</v>
      </c>
      <c r="D454" s="11" t="s">
        <v>423</v>
      </c>
      <c r="E454" s="11" t="s">
        <v>138</v>
      </c>
      <c r="F454" s="12">
        <v>5043.7</v>
      </c>
      <c r="G454" s="12">
        <v>5043.6899999999996</v>
      </c>
      <c r="H454" s="12">
        <v>5043.7</v>
      </c>
    </row>
    <row r="455" spans="1:8" ht="54" x14ac:dyDescent="0.25">
      <c r="A455" s="19">
        <f t="shared" si="259"/>
        <v>444</v>
      </c>
      <c r="B455" s="10" t="s">
        <v>424</v>
      </c>
      <c r="C455" s="11" t="s">
        <v>390</v>
      </c>
      <c r="D455" s="11" t="s">
        <v>425</v>
      </c>
      <c r="E455" s="11"/>
      <c r="F455" s="12">
        <f>SUM(F456:F457)</f>
        <v>9107</v>
      </c>
      <c r="G455" s="12">
        <f t="shared" ref="G455:H455" si="263">SUM(G456:G457)</f>
        <v>15743.8</v>
      </c>
      <c r="H455" s="12">
        <f t="shared" si="263"/>
        <v>103761.22</v>
      </c>
    </row>
    <row r="456" spans="1:8" ht="54" x14ac:dyDescent="0.25">
      <c r="A456" s="19">
        <f t="shared" si="259"/>
        <v>445</v>
      </c>
      <c r="B456" s="10" t="s">
        <v>28</v>
      </c>
      <c r="C456" s="11" t="s">
        <v>390</v>
      </c>
      <c r="D456" s="11" t="s">
        <v>425</v>
      </c>
      <c r="E456" s="11" t="s">
        <v>29</v>
      </c>
      <c r="F456" s="12">
        <f>14107-5000</f>
        <v>9107</v>
      </c>
      <c r="G456" s="12">
        <v>15743.8</v>
      </c>
      <c r="H456" s="12">
        <v>103761.22</v>
      </c>
    </row>
    <row r="457" spans="1:8" x14ac:dyDescent="0.25">
      <c r="A457" s="19">
        <f t="shared" ref="A457:A515" si="264">SUM(A456+1)</f>
        <v>446</v>
      </c>
      <c r="B457" s="10" t="s">
        <v>137</v>
      </c>
      <c r="C457" s="11" t="s">
        <v>390</v>
      </c>
      <c r="D457" s="11" t="s">
        <v>425</v>
      </c>
      <c r="E457" s="11" t="s">
        <v>138</v>
      </c>
      <c r="F457" s="12">
        <v>0</v>
      </c>
      <c r="G457" s="12">
        <v>0</v>
      </c>
      <c r="H457" s="12">
        <v>0</v>
      </c>
    </row>
    <row r="458" spans="1:8" ht="54" x14ac:dyDescent="0.25">
      <c r="A458" s="19">
        <f t="shared" si="264"/>
        <v>447</v>
      </c>
      <c r="B458" s="10" t="s">
        <v>426</v>
      </c>
      <c r="C458" s="11" t="s">
        <v>390</v>
      </c>
      <c r="D458" s="11" t="s">
        <v>427</v>
      </c>
      <c r="E458" s="11"/>
      <c r="F458" s="12">
        <f>SUM(F459)</f>
        <v>80</v>
      </c>
      <c r="G458" s="12">
        <f t="shared" ref="G458:H458" si="265">SUM(G459)</f>
        <v>80</v>
      </c>
      <c r="H458" s="12">
        <f t="shared" si="265"/>
        <v>80</v>
      </c>
    </row>
    <row r="459" spans="1:8" ht="54" x14ac:dyDescent="0.25">
      <c r="A459" s="19">
        <f t="shared" si="264"/>
        <v>448</v>
      </c>
      <c r="B459" s="10" t="s">
        <v>28</v>
      </c>
      <c r="C459" s="11" t="s">
        <v>390</v>
      </c>
      <c r="D459" s="11" t="s">
        <v>427</v>
      </c>
      <c r="E459" s="11" t="s">
        <v>29</v>
      </c>
      <c r="F459" s="12">
        <v>80</v>
      </c>
      <c r="G459" s="12">
        <v>80</v>
      </c>
      <c r="H459" s="12">
        <v>80</v>
      </c>
    </row>
    <row r="460" spans="1:8" ht="54" x14ac:dyDescent="0.25">
      <c r="A460" s="19">
        <f t="shared" si="264"/>
        <v>449</v>
      </c>
      <c r="B460" s="10" t="s">
        <v>428</v>
      </c>
      <c r="C460" s="11" t="s">
        <v>390</v>
      </c>
      <c r="D460" s="11" t="s">
        <v>429</v>
      </c>
      <c r="E460" s="11"/>
      <c r="F460" s="12">
        <f>SUM(F461)</f>
        <v>5000</v>
      </c>
      <c r="G460" s="12">
        <f t="shared" ref="G460:H460" si="266">SUM(G461)</f>
        <v>0</v>
      </c>
      <c r="H460" s="12">
        <f t="shared" si="266"/>
        <v>0</v>
      </c>
    </row>
    <row r="461" spans="1:8" ht="54" x14ac:dyDescent="0.25">
      <c r="A461" s="19">
        <f t="shared" si="264"/>
        <v>450</v>
      </c>
      <c r="B461" s="10" t="s">
        <v>28</v>
      </c>
      <c r="C461" s="11" t="s">
        <v>390</v>
      </c>
      <c r="D461" s="11" t="s">
        <v>429</v>
      </c>
      <c r="E461" s="11" t="s">
        <v>29</v>
      </c>
      <c r="F461" s="12">
        <f>4500+500</f>
        <v>5000</v>
      </c>
      <c r="G461" s="12">
        <v>0</v>
      </c>
      <c r="H461" s="12">
        <v>0</v>
      </c>
    </row>
    <row r="462" spans="1:8" ht="90" x14ac:dyDescent="0.25">
      <c r="A462" s="19">
        <f t="shared" si="264"/>
        <v>451</v>
      </c>
      <c r="B462" s="10" t="s">
        <v>430</v>
      </c>
      <c r="C462" s="11" t="s">
        <v>390</v>
      </c>
      <c r="D462" s="11" t="s">
        <v>431</v>
      </c>
      <c r="E462" s="11"/>
      <c r="F462" s="12">
        <f>SUM(F463)</f>
        <v>80000</v>
      </c>
      <c r="G462" s="12">
        <f t="shared" ref="G462:H462" si="267">SUM(G463)</f>
        <v>0</v>
      </c>
      <c r="H462" s="12">
        <f t="shared" si="267"/>
        <v>0</v>
      </c>
    </row>
    <row r="463" spans="1:8" x14ac:dyDescent="0.25">
      <c r="A463" s="19">
        <f t="shared" si="264"/>
        <v>452</v>
      </c>
      <c r="B463" s="10" t="s">
        <v>137</v>
      </c>
      <c r="C463" s="11" t="s">
        <v>390</v>
      </c>
      <c r="D463" s="11" t="s">
        <v>431</v>
      </c>
      <c r="E463" s="11" t="s">
        <v>138</v>
      </c>
      <c r="F463" s="12">
        <v>80000</v>
      </c>
      <c r="G463" s="12">
        <v>0</v>
      </c>
      <c r="H463" s="12">
        <v>0</v>
      </c>
    </row>
    <row r="464" spans="1:8" ht="36" x14ac:dyDescent="0.25">
      <c r="A464" s="18">
        <f t="shared" si="264"/>
        <v>453</v>
      </c>
      <c r="B464" s="14" t="s">
        <v>432</v>
      </c>
      <c r="C464" s="15" t="s">
        <v>433</v>
      </c>
      <c r="D464" s="15"/>
      <c r="E464" s="15"/>
      <c r="F464" s="16">
        <f>SUM(F465+F485)</f>
        <v>18275.75</v>
      </c>
      <c r="G464" s="16">
        <f t="shared" ref="G464:H464" si="268">SUM(G465+G485)</f>
        <v>15402.96</v>
      </c>
      <c r="H464" s="16">
        <f t="shared" si="268"/>
        <v>15769.67</v>
      </c>
    </row>
    <row r="465" spans="1:8" ht="72" x14ac:dyDescent="0.25">
      <c r="A465" s="19">
        <f t="shared" si="264"/>
        <v>454</v>
      </c>
      <c r="B465" s="10" t="s">
        <v>190</v>
      </c>
      <c r="C465" s="11" t="s">
        <v>433</v>
      </c>
      <c r="D465" s="11" t="s">
        <v>191</v>
      </c>
      <c r="E465" s="11"/>
      <c r="F465" s="12">
        <f>SUM(F466+F470+F479)</f>
        <v>16878.55</v>
      </c>
      <c r="G465" s="12">
        <f t="shared" ref="G465:H465" si="269">SUM(G466+G470+G479)</f>
        <v>15402.96</v>
      </c>
      <c r="H465" s="12">
        <f t="shared" si="269"/>
        <v>15769.67</v>
      </c>
    </row>
    <row r="466" spans="1:8" ht="54" x14ac:dyDescent="0.25">
      <c r="A466" s="19">
        <f t="shared" si="264"/>
        <v>455</v>
      </c>
      <c r="B466" s="10" t="s">
        <v>323</v>
      </c>
      <c r="C466" s="11" t="s">
        <v>433</v>
      </c>
      <c r="D466" s="11" t="s">
        <v>324</v>
      </c>
      <c r="E466" s="11"/>
      <c r="F466" s="12">
        <f>SUM(F467)</f>
        <v>547.4</v>
      </c>
      <c r="G466" s="12">
        <f t="shared" ref="G466:H466" si="270">SUM(G467)</f>
        <v>360.9</v>
      </c>
      <c r="H466" s="12">
        <f t="shared" si="270"/>
        <v>360.9</v>
      </c>
    </row>
    <row r="467" spans="1:8" ht="126" x14ac:dyDescent="0.25">
      <c r="A467" s="19">
        <f t="shared" si="264"/>
        <v>456</v>
      </c>
      <c r="B467" s="10" t="s">
        <v>363</v>
      </c>
      <c r="C467" s="11" t="s">
        <v>433</v>
      </c>
      <c r="D467" s="11" t="s">
        <v>364</v>
      </c>
      <c r="E467" s="11"/>
      <c r="F467" s="12">
        <f>SUM(F468:F469)</f>
        <v>547.4</v>
      </c>
      <c r="G467" s="12">
        <f t="shared" ref="G467:H467" si="271">SUM(G468:G469)</f>
        <v>360.9</v>
      </c>
      <c r="H467" s="12">
        <f t="shared" si="271"/>
        <v>360.9</v>
      </c>
    </row>
    <row r="468" spans="1:8" ht="36" x14ac:dyDescent="0.25">
      <c r="A468" s="19">
        <f t="shared" si="264"/>
        <v>457</v>
      </c>
      <c r="B468" s="10" t="s">
        <v>18</v>
      </c>
      <c r="C468" s="11" t="s">
        <v>433</v>
      </c>
      <c r="D468" s="11" t="s">
        <v>364</v>
      </c>
      <c r="E468" s="11" t="s">
        <v>19</v>
      </c>
      <c r="F468" s="12">
        <v>13.02</v>
      </c>
      <c r="G468" s="12">
        <v>13.02</v>
      </c>
      <c r="H468" s="12">
        <v>13.02</v>
      </c>
    </row>
    <row r="469" spans="1:8" ht="54" x14ac:dyDescent="0.25">
      <c r="A469" s="19">
        <f t="shared" si="264"/>
        <v>458</v>
      </c>
      <c r="B469" s="10" t="s">
        <v>28</v>
      </c>
      <c r="C469" s="11" t="s">
        <v>433</v>
      </c>
      <c r="D469" s="11" t="s">
        <v>364</v>
      </c>
      <c r="E469" s="11" t="s">
        <v>29</v>
      </c>
      <c r="F469" s="12">
        <f>368.68+165.7</f>
        <v>534.38</v>
      </c>
      <c r="G469" s="12">
        <v>347.88</v>
      </c>
      <c r="H469" s="12">
        <v>347.88</v>
      </c>
    </row>
    <row r="470" spans="1:8" ht="72" x14ac:dyDescent="0.25">
      <c r="A470" s="19">
        <f t="shared" si="264"/>
        <v>459</v>
      </c>
      <c r="B470" s="10" t="s">
        <v>365</v>
      </c>
      <c r="C470" s="11" t="s">
        <v>433</v>
      </c>
      <c r="D470" s="11" t="s">
        <v>366</v>
      </c>
      <c r="E470" s="11"/>
      <c r="F470" s="12">
        <f>SUM(F471+F473+F475+F477)</f>
        <v>4132.16</v>
      </c>
      <c r="G470" s="12">
        <f t="shared" ref="G470:H470" si="272">SUM(G471+G473+G475)</f>
        <v>2545</v>
      </c>
      <c r="H470" s="12">
        <f t="shared" si="272"/>
        <v>2500</v>
      </c>
    </row>
    <row r="471" spans="1:8" ht="90" x14ac:dyDescent="0.25">
      <c r="A471" s="19">
        <f t="shared" si="264"/>
        <v>460</v>
      </c>
      <c r="B471" s="10" t="s">
        <v>434</v>
      </c>
      <c r="C471" s="11" t="s">
        <v>433</v>
      </c>
      <c r="D471" s="11" t="s">
        <v>435</v>
      </c>
      <c r="E471" s="11"/>
      <c r="F471" s="12">
        <f>SUM(F472)</f>
        <v>45</v>
      </c>
      <c r="G471" s="12">
        <f t="shared" ref="G471:H471" si="273">SUM(G472)</f>
        <v>45</v>
      </c>
      <c r="H471" s="12">
        <f t="shared" si="273"/>
        <v>0</v>
      </c>
    </row>
    <row r="472" spans="1:8" ht="54" x14ac:dyDescent="0.25">
      <c r="A472" s="19">
        <f t="shared" si="259"/>
        <v>461</v>
      </c>
      <c r="B472" s="10" t="s">
        <v>28</v>
      </c>
      <c r="C472" s="11" t="s">
        <v>433</v>
      </c>
      <c r="D472" s="11" t="s">
        <v>435</v>
      </c>
      <c r="E472" s="11" t="s">
        <v>29</v>
      </c>
      <c r="F472" s="12">
        <v>45</v>
      </c>
      <c r="G472" s="12">
        <v>45</v>
      </c>
      <c r="H472" s="12">
        <v>0</v>
      </c>
    </row>
    <row r="473" spans="1:8" ht="54" x14ac:dyDescent="0.25">
      <c r="A473" s="19">
        <f t="shared" si="259"/>
        <v>462</v>
      </c>
      <c r="B473" s="10" t="s">
        <v>436</v>
      </c>
      <c r="C473" s="11" t="s">
        <v>433</v>
      </c>
      <c r="D473" s="11" t="s">
        <v>437</v>
      </c>
      <c r="E473" s="11"/>
      <c r="F473" s="12">
        <f>SUM(F474)</f>
        <v>247.5</v>
      </c>
      <c r="G473" s="12">
        <f t="shared" ref="G473:H473" si="274">SUM(G474)</f>
        <v>0</v>
      </c>
      <c r="H473" s="12">
        <f t="shared" si="274"/>
        <v>0</v>
      </c>
    </row>
    <row r="474" spans="1:8" ht="54" x14ac:dyDescent="0.25">
      <c r="A474" s="19">
        <f t="shared" si="259"/>
        <v>463</v>
      </c>
      <c r="B474" s="10" t="s">
        <v>28</v>
      </c>
      <c r="C474" s="11" t="s">
        <v>433</v>
      </c>
      <c r="D474" s="11" t="s">
        <v>437</v>
      </c>
      <c r="E474" s="11" t="s">
        <v>29</v>
      </c>
      <c r="F474" s="12">
        <f>500-252.5</f>
        <v>247.5</v>
      </c>
      <c r="G474" s="12">
        <v>0</v>
      </c>
      <c r="H474" s="12">
        <v>0</v>
      </c>
    </row>
    <row r="475" spans="1:8" ht="54" x14ac:dyDescent="0.25">
      <c r="A475" s="19">
        <f t="shared" si="259"/>
        <v>464</v>
      </c>
      <c r="B475" s="10" t="s">
        <v>438</v>
      </c>
      <c r="C475" s="11" t="s">
        <v>433</v>
      </c>
      <c r="D475" s="11" t="s">
        <v>439</v>
      </c>
      <c r="E475" s="11"/>
      <c r="F475" s="12">
        <f>SUM(F476)</f>
        <v>1417.23</v>
      </c>
      <c r="G475" s="12">
        <f t="shared" ref="G475:H475" si="275">SUM(G476)</f>
        <v>2500</v>
      </c>
      <c r="H475" s="12">
        <f t="shared" si="275"/>
        <v>2500</v>
      </c>
    </row>
    <row r="476" spans="1:8" ht="90" x14ac:dyDescent="0.25">
      <c r="A476" s="19">
        <f t="shared" si="259"/>
        <v>465</v>
      </c>
      <c r="B476" s="10" t="s">
        <v>302</v>
      </c>
      <c r="C476" s="11" t="s">
        <v>433</v>
      </c>
      <c r="D476" s="11" t="s">
        <v>439</v>
      </c>
      <c r="E476" s="11" t="s">
        <v>303</v>
      </c>
      <c r="F476" s="12">
        <f>3000-1000-582.77</f>
        <v>1417.23</v>
      </c>
      <c r="G476" s="12">
        <v>2500</v>
      </c>
      <c r="H476" s="12">
        <v>2500</v>
      </c>
    </row>
    <row r="477" spans="1:8" ht="72" x14ac:dyDescent="0.25">
      <c r="A477" s="19">
        <f t="shared" si="259"/>
        <v>466</v>
      </c>
      <c r="B477" s="10" t="s">
        <v>810</v>
      </c>
      <c r="C477" s="11" t="s">
        <v>433</v>
      </c>
      <c r="D477" s="24" t="s">
        <v>811</v>
      </c>
      <c r="E477" s="11"/>
      <c r="F477" s="12">
        <f>SUM(F478)</f>
        <v>2422.4299999999998</v>
      </c>
      <c r="G477" s="12">
        <f t="shared" ref="G477:H477" si="276">SUM(G478)</f>
        <v>0</v>
      </c>
      <c r="H477" s="12">
        <f t="shared" si="276"/>
        <v>0</v>
      </c>
    </row>
    <row r="478" spans="1:8" x14ac:dyDescent="0.25">
      <c r="A478" s="19">
        <f t="shared" si="259"/>
        <v>467</v>
      </c>
      <c r="B478" s="10" t="s">
        <v>137</v>
      </c>
      <c r="C478" s="11" t="s">
        <v>433</v>
      </c>
      <c r="D478" s="24" t="s">
        <v>811</v>
      </c>
      <c r="E478" s="11">
        <v>610</v>
      </c>
      <c r="F478" s="12">
        <v>2422.4299999999998</v>
      </c>
      <c r="G478" s="12">
        <v>0</v>
      </c>
      <c r="H478" s="12">
        <v>0</v>
      </c>
    </row>
    <row r="479" spans="1:8" ht="36" x14ac:dyDescent="0.25">
      <c r="A479" s="19">
        <f t="shared" si="264"/>
        <v>468</v>
      </c>
      <c r="B479" s="10" t="s">
        <v>192</v>
      </c>
      <c r="C479" s="11" t="s">
        <v>433</v>
      </c>
      <c r="D479" s="11" t="s">
        <v>193</v>
      </c>
      <c r="E479" s="11"/>
      <c r="F479" s="12">
        <f>SUM(F480+F482)</f>
        <v>12198.99</v>
      </c>
      <c r="G479" s="12">
        <f t="shared" ref="G479:H479" si="277">SUM(G480+G482)</f>
        <v>12497.06</v>
      </c>
      <c r="H479" s="12">
        <f t="shared" si="277"/>
        <v>12908.77</v>
      </c>
    </row>
    <row r="480" spans="1:8" ht="72" x14ac:dyDescent="0.25">
      <c r="A480" s="19">
        <f t="shared" si="264"/>
        <v>469</v>
      </c>
      <c r="B480" s="10" t="s">
        <v>440</v>
      </c>
      <c r="C480" s="11" t="s">
        <v>433</v>
      </c>
      <c r="D480" s="11" t="s">
        <v>441</v>
      </c>
      <c r="E480" s="11"/>
      <c r="F480" s="12">
        <f>SUM(F481)</f>
        <v>6811.3</v>
      </c>
      <c r="G480" s="12">
        <f t="shared" ref="G480:H480" si="278">SUM(G481)</f>
        <v>6975.5</v>
      </c>
      <c r="H480" s="12">
        <f t="shared" si="278"/>
        <v>7191.2</v>
      </c>
    </row>
    <row r="481" spans="1:8" x14ac:dyDescent="0.25">
      <c r="A481" s="19">
        <f t="shared" si="264"/>
        <v>470</v>
      </c>
      <c r="B481" s="10" t="s">
        <v>137</v>
      </c>
      <c r="C481" s="11" t="s">
        <v>433</v>
      </c>
      <c r="D481" s="11" t="s">
        <v>441</v>
      </c>
      <c r="E481" s="11" t="s">
        <v>138</v>
      </c>
      <c r="F481" s="12">
        <v>6811.3</v>
      </c>
      <c r="G481" s="12">
        <v>6975.5</v>
      </c>
      <c r="H481" s="12">
        <v>7191.2</v>
      </c>
    </row>
    <row r="482" spans="1:8" ht="54" x14ac:dyDescent="0.25">
      <c r="A482" s="19">
        <f t="shared" si="264"/>
        <v>471</v>
      </c>
      <c r="B482" s="10" t="s">
        <v>442</v>
      </c>
      <c r="C482" s="11" t="s">
        <v>433</v>
      </c>
      <c r="D482" s="11" t="s">
        <v>443</v>
      </c>
      <c r="E482" s="11"/>
      <c r="F482" s="12">
        <f>SUM(F483:F484)</f>
        <v>5387.69</v>
      </c>
      <c r="G482" s="12">
        <f t="shared" ref="G482:H482" si="279">SUM(G483:G484)</f>
        <v>5521.5599999999995</v>
      </c>
      <c r="H482" s="12">
        <f t="shared" si="279"/>
        <v>5717.57</v>
      </c>
    </row>
    <row r="483" spans="1:8" ht="36" x14ac:dyDescent="0.25">
      <c r="A483" s="19">
        <f t="shared" si="264"/>
        <v>472</v>
      </c>
      <c r="B483" s="10" t="s">
        <v>129</v>
      </c>
      <c r="C483" s="11" t="s">
        <v>433</v>
      </c>
      <c r="D483" s="11" t="s">
        <v>443</v>
      </c>
      <c r="E483" s="11" t="s">
        <v>130</v>
      </c>
      <c r="F483" s="12">
        <f>4793.19-19</f>
        <v>4774.1899999999996</v>
      </c>
      <c r="G483" s="12">
        <v>4985.37</v>
      </c>
      <c r="H483" s="12">
        <v>5179.57</v>
      </c>
    </row>
    <row r="484" spans="1:8" ht="54" x14ac:dyDescent="0.25">
      <c r="A484" s="19">
        <f t="shared" si="264"/>
        <v>473</v>
      </c>
      <c r="B484" s="10" t="s">
        <v>28</v>
      </c>
      <c r="C484" s="11" t="s">
        <v>433</v>
      </c>
      <c r="D484" s="11" t="s">
        <v>443</v>
      </c>
      <c r="E484" s="11" t="s">
        <v>29</v>
      </c>
      <c r="F484" s="12">
        <f>594.5+19</f>
        <v>613.5</v>
      </c>
      <c r="G484" s="12">
        <v>536.19000000000005</v>
      </c>
      <c r="H484" s="12">
        <v>538</v>
      </c>
    </row>
    <row r="485" spans="1:8" x14ac:dyDescent="0.25">
      <c r="A485" s="19">
        <f t="shared" si="264"/>
        <v>474</v>
      </c>
      <c r="B485" s="10" t="s">
        <v>22</v>
      </c>
      <c r="C485" s="11" t="s">
        <v>433</v>
      </c>
      <c r="D485" s="24" t="s">
        <v>23</v>
      </c>
      <c r="E485" s="11"/>
      <c r="F485" s="12">
        <f>SUM(F486)</f>
        <v>1397.2</v>
      </c>
      <c r="G485" s="12">
        <f t="shared" ref="G485:H486" si="280">SUM(G486)</f>
        <v>0</v>
      </c>
      <c r="H485" s="12">
        <f t="shared" si="280"/>
        <v>0</v>
      </c>
    </row>
    <row r="486" spans="1:8" ht="108" x14ac:dyDescent="0.25">
      <c r="A486" s="19">
        <f t="shared" si="264"/>
        <v>475</v>
      </c>
      <c r="B486" s="10" t="s">
        <v>824</v>
      </c>
      <c r="C486" s="11" t="s">
        <v>433</v>
      </c>
      <c r="D486" s="24" t="s">
        <v>822</v>
      </c>
      <c r="E486" s="11"/>
      <c r="F486" s="12">
        <f>SUM(F487)</f>
        <v>1397.2</v>
      </c>
      <c r="G486" s="12">
        <f t="shared" si="280"/>
        <v>0</v>
      </c>
      <c r="H486" s="12">
        <f t="shared" si="280"/>
        <v>0</v>
      </c>
    </row>
    <row r="487" spans="1:8" ht="90" x14ac:dyDescent="0.25">
      <c r="A487" s="19">
        <f t="shared" si="264"/>
        <v>476</v>
      </c>
      <c r="B487" s="10" t="s">
        <v>302</v>
      </c>
      <c r="C487" s="11" t="s">
        <v>433</v>
      </c>
      <c r="D487" s="24" t="s">
        <v>822</v>
      </c>
      <c r="E487" s="11">
        <v>810</v>
      </c>
      <c r="F487" s="12">
        <v>1397.2</v>
      </c>
      <c r="G487" s="12">
        <v>0</v>
      </c>
      <c r="H487" s="12">
        <v>0</v>
      </c>
    </row>
    <row r="488" spans="1:8" x14ac:dyDescent="0.25">
      <c r="A488" s="18">
        <f t="shared" si="264"/>
        <v>477</v>
      </c>
      <c r="B488" s="14" t="s">
        <v>444</v>
      </c>
      <c r="C488" s="15" t="s">
        <v>445</v>
      </c>
      <c r="D488" s="15"/>
      <c r="E488" s="15"/>
      <c r="F488" s="16">
        <f>SUM(F489+F494+F503)</f>
        <v>4370.78</v>
      </c>
      <c r="G488" s="16">
        <f t="shared" ref="G488:H488" si="281">SUM(G489+G494+G503)</f>
        <v>2410.75</v>
      </c>
      <c r="H488" s="16">
        <f t="shared" si="281"/>
        <v>2079.81</v>
      </c>
    </row>
    <row r="489" spans="1:8" ht="36" x14ac:dyDescent="0.25">
      <c r="A489" s="18">
        <f t="shared" si="264"/>
        <v>478</v>
      </c>
      <c r="B489" s="14" t="s">
        <v>446</v>
      </c>
      <c r="C489" s="15" t="s">
        <v>447</v>
      </c>
      <c r="D489" s="15"/>
      <c r="E489" s="15"/>
      <c r="F489" s="16">
        <f>SUM(F490)</f>
        <v>90.1</v>
      </c>
      <c r="G489" s="16">
        <f t="shared" ref="G489:H489" si="282">SUM(G490)</f>
        <v>90.1</v>
      </c>
      <c r="H489" s="16">
        <f t="shared" si="282"/>
        <v>90.1</v>
      </c>
    </row>
    <row r="490" spans="1:8" ht="72" x14ac:dyDescent="0.25">
      <c r="A490" s="19">
        <f t="shared" si="264"/>
        <v>479</v>
      </c>
      <c r="B490" s="10" t="s">
        <v>190</v>
      </c>
      <c r="C490" s="11" t="s">
        <v>447</v>
      </c>
      <c r="D490" s="11" t="s">
        <v>191</v>
      </c>
      <c r="E490" s="11"/>
      <c r="F490" s="12">
        <f>SUM(F491)</f>
        <v>90.1</v>
      </c>
      <c r="G490" s="12">
        <f t="shared" ref="G490:H490" si="283">SUM(G491)</f>
        <v>90.1</v>
      </c>
      <c r="H490" s="12">
        <f t="shared" si="283"/>
        <v>90.1</v>
      </c>
    </row>
    <row r="491" spans="1:8" ht="54" x14ac:dyDescent="0.25">
      <c r="A491" s="19">
        <f t="shared" si="264"/>
        <v>480</v>
      </c>
      <c r="B491" s="10" t="s">
        <v>379</v>
      </c>
      <c r="C491" s="11" t="s">
        <v>447</v>
      </c>
      <c r="D491" s="11" t="s">
        <v>380</v>
      </c>
      <c r="E491" s="11"/>
      <c r="F491" s="12">
        <f>SUM(F492)</f>
        <v>90.1</v>
      </c>
      <c r="G491" s="12">
        <f t="shared" ref="G491:H491" si="284">SUM(G492)</f>
        <v>90.1</v>
      </c>
      <c r="H491" s="12">
        <f t="shared" si="284"/>
        <v>90.1</v>
      </c>
    </row>
    <row r="492" spans="1:8" x14ac:dyDescent="0.25">
      <c r="A492" s="19">
        <f t="shared" si="264"/>
        <v>481</v>
      </c>
      <c r="B492" s="10" t="s">
        <v>448</v>
      </c>
      <c r="C492" s="11" t="s">
        <v>447</v>
      </c>
      <c r="D492" s="11" t="s">
        <v>449</v>
      </c>
      <c r="E492" s="11"/>
      <c r="F492" s="12">
        <f>SUM(F493)</f>
        <v>90.1</v>
      </c>
      <c r="G492" s="12">
        <f t="shared" ref="G492:H492" si="285">SUM(G493)</f>
        <v>90.1</v>
      </c>
      <c r="H492" s="12">
        <f t="shared" si="285"/>
        <v>90.1</v>
      </c>
    </row>
    <row r="493" spans="1:8" x14ac:dyDescent="0.25">
      <c r="A493" s="19">
        <f t="shared" si="264"/>
        <v>482</v>
      </c>
      <c r="B493" s="10" t="s">
        <v>137</v>
      </c>
      <c r="C493" s="11" t="s">
        <v>447</v>
      </c>
      <c r="D493" s="11" t="s">
        <v>449</v>
      </c>
      <c r="E493" s="11" t="s">
        <v>138</v>
      </c>
      <c r="F493" s="12">
        <v>90.1</v>
      </c>
      <c r="G493" s="12">
        <v>90.1</v>
      </c>
      <c r="H493" s="12">
        <v>90.1</v>
      </c>
    </row>
    <row r="494" spans="1:8" ht="36" x14ac:dyDescent="0.25">
      <c r="A494" s="18">
        <f t="shared" si="259"/>
        <v>483</v>
      </c>
      <c r="B494" s="14" t="s">
        <v>450</v>
      </c>
      <c r="C494" s="15" t="s">
        <v>451</v>
      </c>
      <c r="D494" s="15"/>
      <c r="E494" s="15"/>
      <c r="F494" s="16">
        <f>SUM(F495)</f>
        <v>799</v>
      </c>
      <c r="G494" s="16">
        <f t="shared" ref="G494:H494" si="286">SUM(G495)</f>
        <v>819</v>
      </c>
      <c r="H494" s="16">
        <f t="shared" si="286"/>
        <v>469</v>
      </c>
    </row>
    <row r="495" spans="1:8" ht="72" x14ac:dyDescent="0.25">
      <c r="A495" s="19">
        <f t="shared" si="259"/>
        <v>484</v>
      </c>
      <c r="B495" s="10" t="s">
        <v>190</v>
      </c>
      <c r="C495" s="11" t="s">
        <v>451</v>
      </c>
      <c r="D495" s="11" t="s">
        <v>191</v>
      </c>
      <c r="E495" s="11"/>
      <c r="F495" s="12">
        <f>SUM(F496)</f>
        <v>799</v>
      </c>
      <c r="G495" s="12">
        <f t="shared" ref="G495:H495" si="287">SUM(G496)</f>
        <v>819</v>
      </c>
      <c r="H495" s="12">
        <f t="shared" si="287"/>
        <v>469</v>
      </c>
    </row>
    <row r="496" spans="1:8" ht="54" x14ac:dyDescent="0.25">
      <c r="A496" s="19">
        <f t="shared" si="259"/>
        <v>485</v>
      </c>
      <c r="B496" s="10" t="s">
        <v>379</v>
      </c>
      <c r="C496" s="11" t="s">
        <v>451</v>
      </c>
      <c r="D496" s="11" t="s">
        <v>380</v>
      </c>
      <c r="E496" s="11"/>
      <c r="F496" s="12">
        <f>SUM(F497+F499+F501)</f>
        <v>799</v>
      </c>
      <c r="G496" s="12">
        <f t="shared" ref="G496:H496" si="288">SUM(G497+G499+G501)</f>
        <v>819</v>
      </c>
      <c r="H496" s="12">
        <f t="shared" si="288"/>
        <v>469</v>
      </c>
    </row>
    <row r="497" spans="1:8" ht="72" x14ac:dyDescent="0.25">
      <c r="A497" s="19">
        <f t="shared" si="259"/>
        <v>486</v>
      </c>
      <c r="B497" s="10" t="s">
        <v>452</v>
      </c>
      <c r="C497" s="11" t="s">
        <v>451</v>
      </c>
      <c r="D497" s="11" t="s">
        <v>453</v>
      </c>
      <c r="E497" s="11"/>
      <c r="F497" s="12">
        <f>SUM(F498)</f>
        <v>400</v>
      </c>
      <c r="G497" s="12">
        <f t="shared" ref="G497:H497" si="289">SUM(G498)</f>
        <v>400</v>
      </c>
      <c r="H497" s="12">
        <f t="shared" si="289"/>
        <v>50</v>
      </c>
    </row>
    <row r="498" spans="1:8" ht="54" x14ac:dyDescent="0.25">
      <c r="A498" s="19">
        <f t="shared" si="259"/>
        <v>487</v>
      </c>
      <c r="B498" s="10" t="s">
        <v>28</v>
      </c>
      <c r="C498" s="11" t="s">
        <v>451</v>
      </c>
      <c r="D498" s="11" t="s">
        <v>453</v>
      </c>
      <c r="E498" s="11" t="s">
        <v>29</v>
      </c>
      <c r="F498" s="12">
        <v>400</v>
      </c>
      <c r="G498" s="12">
        <v>400</v>
      </c>
      <c r="H498" s="12">
        <v>50</v>
      </c>
    </row>
    <row r="499" spans="1:8" ht="36" x14ac:dyDescent="0.25">
      <c r="A499" s="19">
        <f t="shared" si="259"/>
        <v>488</v>
      </c>
      <c r="B499" s="10" t="s">
        <v>454</v>
      </c>
      <c r="C499" s="11" t="s">
        <v>451</v>
      </c>
      <c r="D499" s="11" t="s">
        <v>455</v>
      </c>
      <c r="E499" s="11"/>
      <c r="F499" s="12">
        <f>SUM(F500)</f>
        <v>250</v>
      </c>
      <c r="G499" s="12">
        <f t="shared" ref="G499:H499" si="290">SUM(G500)</f>
        <v>270</v>
      </c>
      <c r="H499" s="12">
        <f t="shared" si="290"/>
        <v>270</v>
      </c>
    </row>
    <row r="500" spans="1:8" x14ac:dyDescent="0.25">
      <c r="A500" s="19">
        <f t="shared" si="259"/>
        <v>489</v>
      </c>
      <c r="B500" s="10" t="s">
        <v>137</v>
      </c>
      <c r="C500" s="11" t="s">
        <v>451</v>
      </c>
      <c r="D500" s="11" t="s">
        <v>455</v>
      </c>
      <c r="E500" s="11" t="s">
        <v>138</v>
      </c>
      <c r="F500" s="12">
        <v>250</v>
      </c>
      <c r="G500" s="12">
        <v>270</v>
      </c>
      <c r="H500" s="12">
        <v>270</v>
      </c>
    </row>
    <row r="501" spans="1:8" ht="90" x14ac:dyDescent="0.25">
      <c r="A501" s="19">
        <f t="shared" si="264"/>
        <v>490</v>
      </c>
      <c r="B501" s="10" t="s">
        <v>821</v>
      </c>
      <c r="C501" s="11" t="s">
        <v>451</v>
      </c>
      <c r="D501" s="11" t="s">
        <v>456</v>
      </c>
      <c r="E501" s="11"/>
      <c r="F501" s="12">
        <f>SUM(F502)</f>
        <v>149</v>
      </c>
      <c r="G501" s="12">
        <f t="shared" ref="G501:H501" si="291">SUM(G502)</f>
        <v>149</v>
      </c>
      <c r="H501" s="12">
        <f t="shared" si="291"/>
        <v>149</v>
      </c>
    </row>
    <row r="502" spans="1:8" x14ac:dyDescent="0.25">
      <c r="A502" s="19">
        <f t="shared" si="264"/>
        <v>491</v>
      </c>
      <c r="B502" s="10" t="s">
        <v>137</v>
      </c>
      <c r="C502" s="11" t="s">
        <v>451</v>
      </c>
      <c r="D502" s="11" t="s">
        <v>456</v>
      </c>
      <c r="E502" s="11" t="s">
        <v>138</v>
      </c>
      <c r="F502" s="12">
        <v>149</v>
      </c>
      <c r="G502" s="12">
        <v>149</v>
      </c>
      <c r="H502" s="12">
        <v>149</v>
      </c>
    </row>
    <row r="503" spans="1:8" ht="36" x14ac:dyDescent="0.25">
      <c r="A503" s="18">
        <f t="shared" si="264"/>
        <v>492</v>
      </c>
      <c r="B503" s="14" t="s">
        <v>457</v>
      </c>
      <c r="C503" s="15" t="s">
        <v>458</v>
      </c>
      <c r="D503" s="15"/>
      <c r="E503" s="15"/>
      <c r="F503" s="16">
        <f>SUM(F504)</f>
        <v>3481.68</v>
      </c>
      <c r="G503" s="16">
        <f t="shared" ref="G503:H503" si="292">SUM(G504)</f>
        <v>1501.65</v>
      </c>
      <c r="H503" s="16">
        <f t="shared" si="292"/>
        <v>1520.71</v>
      </c>
    </row>
    <row r="504" spans="1:8" ht="72" x14ac:dyDescent="0.25">
      <c r="A504" s="19">
        <f t="shared" si="264"/>
        <v>493</v>
      </c>
      <c r="B504" s="10" t="s">
        <v>190</v>
      </c>
      <c r="C504" s="11" t="s">
        <v>458</v>
      </c>
      <c r="D504" s="11" t="s">
        <v>191</v>
      </c>
      <c r="E504" s="11"/>
      <c r="F504" s="12">
        <f>SUM(F505)</f>
        <v>3481.68</v>
      </c>
      <c r="G504" s="12">
        <f t="shared" ref="G504:H504" si="293">SUM(G505)</f>
        <v>1501.65</v>
      </c>
      <c r="H504" s="12">
        <f t="shared" si="293"/>
        <v>1520.71</v>
      </c>
    </row>
    <row r="505" spans="1:8" ht="54" x14ac:dyDescent="0.25">
      <c r="A505" s="19">
        <f t="shared" si="264"/>
        <v>494</v>
      </c>
      <c r="B505" s="10" t="s">
        <v>379</v>
      </c>
      <c r="C505" s="11" t="s">
        <v>458</v>
      </c>
      <c r="D505" s="11" t="s">
        <v>380</v>
      </c>
      <c r="E505" s="11"/>
      <c r="F505" s="12">
        <f>SUM(F506+F508+F510)</f>
        <v>3481.68</v>
      </c>
      <c r="G505" s="12">
        <f t="shared" ref="G505:H505" si="294">SUM(G506+G508+G510)</f>
        <v>1501.65</v>
      </c>
      <c r="H505" s="12">
        <f t="shared" si="294"/>
        <v>1520.71</v>
      </c>
    </row>
    <row r="506" spans="1:8" ht="54" x14ac:dyDescent="0.25">
      <c r="A506" s="19">
        <f t="shared" si="264"/>
        <v>495</v>
      </c>
      <c r="B506" s="10" t="s">
        <v>459</v>
      </c>
      <c r="C506" s="11" t="s">
        <v>458</v>
      </c>
      <c r="D506" s="11" t="s">
        <v>460</v>
      </c>
      <c r="E506" s="11"/>
      <c r="F506" s="12">
        <f>SUM(F507)</f>
        <v>476.18</v>
      </c>
      <c r="G506" s="12">
        <f t="shared" ref="G506:H506" si="295">SUM(G507)</f>
        <v>496.15</v>
      </c>
      <c r="H506" s="12">
        <f t="shared" si="295"/>
        <v>515.21</v>
      </c>
    </row>
    <row r="507" spans="1:8" x14ac:dyDescent="0.25">
      <c r="A507" s="19">
        <f t="shared" si="264"/>
        <v>496</v>
      </c>
      <c r="B507" s="10" t="s">
        <v>137</v>
      </c>
      <c r="C507" s="11" t="s">
        <v>458</v>
      </c>
      <c r="D507" s="11" t="s">
        <v>460</v>
      </c>
      <c r="E507" s="11" t="s">
        <v>138</v>
      </c>
      <c r="F507" s="12">
        <v>476.18</v>
      </c>
      <c r="G507" s="12">
        <v>496.15</v>
      </c>
      <c r="H507" s="12">
        <v>515.21</v>
      </c>
    </row>
    <row r="508" spans="1:8" ht="72" x14ac:dyDescent="0.25">
      <c r="A508" s="19">
        <f t="shared" si="264"/>
        <v>497</v>
      </c>
      <c r="B508" s="10" t="s">
        <v>461</v>
      </c>
      <c r="C508" s="11" t="s">
        <v>458</v>
      </c>
      <c r="D508" s="11" t="s">
        <v>462</v>
      </c>
      <c r="E508" s="11"/>
      <c r="F508" s="12">
        <f>SUM(F509)</f>
        <v>3000</v>
      </c>
      <c r="G508" s="12">
        <f t="shared" ref="G508:H508" si="296">SUM(G509)</f>
        <v>1000</v>
      </c>
      <c r="H508" s="12">
        <f t="shared" si="296"/>
        <v>1000</v>
      </c>
    </row>
    <row r="509" spans="1:8" ht="54" x14ac:dyDescent="0.25">
      <c r="A509" s="19">
        <f t="shared" si="264"/>
        <v>498</v>
      </c>
      <c r="B509" s="10" t="s">
        <v>28</v>
      </c>
      <c r="C509" s="11" t="s">
        <v>458</v>
      </c>
      <c r="D509" s="11" t="s">
        <v>462</v>
      </c>
      <c r="E509" s="11" t="s">
        <v>29</v>
      </c>
      <c r="F509" s="12">
        <v>3000</v>
      </c>
      <c r="G509" s="12">
        <v>1000</v>
      </c>
      <c r="H509" s="12">
        <v>1000</v>
      </c>
    </row>
    <row r="510" spans="1:8" x14ac:dyDescent="0.25">
      <c r="A510" s="19">
        <f t="shared" si="264"/>
        <v>499</v>
      </c>
      <c r="B510" s="10" t="s">
        <v>463</v>
      </c>
      <c r="C510" s="11" t="s">
        <v>458</v>
      </c>
      <c r="D510" s="11" t="s">
        <v>464</v>
      </c>
      <c r="E510" s="11"/>
      <c r="F510" s="12">
        <f>SUM(F511)</f>
        <v>5.5</v>
      </c>
      <c r="G510" s="12">
        <f t="shared" ref="G510:H510" si="297">SUM(G511)</f>
        <v>5.5</v>
      </c>
      <c r="H510" s="12">
        <f t="shared" si="297"/>
        <v>5.5</v>
      </c>
    </row>
    <row r="511" spans="1:8" x14ac:dyDescent="0.25">
      <c r="A511" s="19">
        <f t="shared" si="264"/>
        <v>500</v>
      </c>
      <c r="B511" s="10" t="s">
        <v>137</v>
      </c>
      <c r="C511" s="11" t="s">
        <v>458</v>
      </c>
      <c r="D511" s="11" t="s">
        <v>464</v>
      </c>
      <c r="E511" s="11" t="s">
        <v>138</v>
      </c>
      <c r="F511" s="12">
        <v>5.5</v>
      </c>
      <c r="G511" s="12">
        <v>5.5</v>
      </c>
      <c r="H511" s="12">
        <v>5.5</v>
      </c>
    </row>
    <row r="512" spans="1:8" x14ac:dyDescent="0.25">
      <c r="A512" s="18">
        <f t="shared" si="264"/>
        <v>501</v>
      </c>
      <c r="B512" s="14" t="s">
        <v>465</v>
      </c>
      <c r="C512" s="15" t="s">
        <v>466</v>
      </c>
      <c r="D512" s="15"/>
      <c r="E512" s="15"/>
      <c r="F512" s="16">
        <f>SUM(F513+F540+F592+F624+F664)</f>
        <v>1558359.44</v>
      </c>
      <c r="G512" s="16">
        <f>SUM(G513+G540+G592+G624+G664)</f>
        <v>1498168.4000000001</v>
      </c>
      <c r="H512" s="16">
        <f>SUM(H513+H540+H592+H624+H664)</f>
        <v>1574866.1700000002</v>
      </c>
    </row>
    <row r="513" spans="1:8" x14ac:dyDescent="0.25">
      <c r="A513" s="18">
        <f t="shared" si="264"/>
        <v>502</v>
      </c>
      <c r="B513" s="14" t="s">
        <v>467</v>
      </c>
      <c r="C513" s="15" t="s">
        <v>468</v>
      </c>
      <c r="D513" s="15"/>
      <c r="E513" s="15"/>
      <c r="F513" s="16">
        <f>SUM(F514+F535)</f>
        <v>553715.16</v>
      </c>
      <c r="G513" s="16">
        <f t="shared" ref="G513:H513" si="298">SUM(G514+G535)</f>
        <v>553230.03</v>
      </c>
      <c r="H513" s="16">
        <f t="shared" si="298"/>
        <v>581922.80000000005</v>
      </c>
    </row>
    <row r="514" spans="1:8" ht="54" x14ac:dyDescent="0.25">
      <c r="A514" s="19">
        <f t="shared" si="264"/>
        <v>503</v>
      </c>
      <c r="B514" s="10" t="s">
        <v>469</v>
      </c>
      <c r="C514" s="11" t="s">
        <v>468</v>
      </c>
      <c r="D514" s="11" t="s">
        <v>470</v>
      </c>
      <c r="E514" s="11"/>
      <c r="F514" s="12">
        <f>SUM(F515)</f>
        <v>548570.16</v>
      </c>
      <c r="G514" s="12">
        <f t="shared" ref="G514:H514" si="299">SUM(G515)</f>
        <v>553230.03</v>
      </c>
      <c r="H514" s="12">
        <f t="shared" si="299"/>
        <v>581922.80000000005</v>
      </c>
    </row>
    <row r="515" spans="1:8" ht="54" x14ac:dyDescent="0.25">
      <c r="A515" s="19">
        <f t="shared" si="264"/>
        <v>504</v>
      </c>
      <c r="B515" s="10" t="s">
        <v>471</v>
      </c>
      <c r="C515" s="11" t="s">
        <v>468</v>
      </c>
      <c r="D515" s="11" t="s">
        <v>472</v>
      </c>
      <c r="E515" s="11"/>
      <c r="F515" s="12">
        <f>SUM(F516+F519+F522+F524+F526+F529+F532)</f>
        <v>548570.16</v>
      </c>
      <c r="G515" s="12">
        <f t="shared" ref="G515:H515" si="300">SUM(G516+G519+G522+G524+G526+G529+G532)</f>
        <v>553230.03</v>
      </c>
      <c r="H515" s="12">
        <f t="shared" si="300"/>
        <v>581922.80000000005</v>
      </c>
    </row>
    <row r="516" spans="1:8" ht="144" x14ac:dyDescent="0.25">
      <c r="A516" s="19">
        <f t="shared" ref="A516:A566" si="301">SUM(A515+1)</f>
        <v>505</v>
      </c>
      <c r="B516" s="10" t="s">
        <v>473</v>
      </c>
      <c r="C516" s="11" t="s">
        <v>468</v>
      </c>
      <c r="D516" s="11" t="s">
        <v>474</v>
      </c>
      <c r="E516" s="11"/>
      <c r="F516" s="12">
        <f>SUM(F517:F518)</f>
        <v>315437.40000000002</v>
      </c>
      <c r="G516" s="12">
        <f t="shared" ref="G516:H516" si="302">SUM(G517:G518)</f>
        <v>324931</v>
      </c>
      <c r="H516" s="12">
        <f t="shared" si="302"/>
        <v>344494</v>
      </c>
    </row>
    <row r="517" spans="1:8" x14ac:dyDescent="0.25">
      <c r="A517" s="19">
        <f t="shared" si="301"/>
        <v>506</v>
      </c>
      <c r="B517" s="10" t="s">
        <v>137</v>
      </c>
      <c r="C517" s="11" t="s">
        <v>468</v>
      </c>
      <c r="D517" s="11" t="s">
        <v>474</v>
      </c>
      <c r="E517" s="11" t="s">
        <v>138</v>
      </c>
      <c r="F517" s="12">
        <f>123215.4+3852.8</f>
        <v>127068.2</v>
      </c>
      <c r="G517" s="12">
        <v>131922</v>
      </c>
      <c r="H517" s="12">
        <v>139865</v>
      </c>
    </row>
    <row r="518" spans="1:8" x14ac:dyDescent="0.25">
      <c r="A518" s="19">
        <f t="shared" si="301"/>
        <v>507</v>
      </c>
      <c r="B518" s="10" t="s">
        <v>143</v>
      </c>
      <c r="C518" s="11" t="s">
        <v>468</v>
      </c>
      <c r="D518" s="11" t="s">
        <v>474</v>
      </c>
      <c r="E518" s="11" t="s">
        <v>144</v>
      </c>
      <c r="F518" s="12">
        <f>182162.6+6206.6</f>
        <v>188369.2</v>
      </c>
      <c r="G518" s="12">
        <v>193009</v>
      </c>
      <c r="H518" s="12">
        <v>204629</v>
      </c>
    </row>
    <row r="519" spans="1:8" ht="144" x14ac:dyDescent="0.25">
      <c r="A519" s="19">
        <f t="shared" si="301"/>
        <v>508</v>
      </c>
      <c r="B519" s="10" t="s">
        <v>475</v>
      </c>
      <c r="C519" s="11" t="s">
        <v>468</v>
      </c>
      <c r="D519" s="11" t="s">
        <v>476</v>
      </c>
      <c r="E519" s="11"/>
      <c r="F519" s="12">
        <f>SUM(F520:F521)</f>
        <v>2942</v>
      </c>
      <c r="G519" s="12">
        <f t="shared" ref="G519:H519" si="303">SUM(G520:G521)</f>
        <v>3060</v>
      </c>
      <c r="H519" s="12">
        <f t="shared" si="303"/>
        <v>3182</v>
      </c>
    </row>
    <row r="520" spans="1:8" x14ac:dyDescent="0.25">
      <c r="A520" s="19">
        <f t="shared" si="301"/>
        <v>509</v>
      </c>
      <c r="B520" s="10" t="s">
        <v>137</v>
      </c>
      <c r="C520" s="11" t="s">
        <v>468</v>
      </c>
      <c r="D520" s="11" t="s">
        <v>476</v>
      </c>
      <c r="E520" s="11" t="s">
        <v>138</v>
      </c>
      <c r="F520" s="12">
        <v>1198</v>
      </c>
      <c r="G520" s="12">
        <v>1246</v>
      </c>
      <c r="H520" s="12">
        <v>1296</v>
      </c>
    </row>
    <row r="521" spans="1:8" x14ac:dyDescent="0.25">
      <c r="A521" s="19">
        <f t="shared" si="301"/>
        <v>510</v>
      </c>
      <c r="B521" s="10" t="s">
        <v>143</v>
      </c>
      <c r="C521" s="11" t="s">
        <v>468</v>
      </c>
      <c r="D521" s="11" t="s">
        <v>476</v>
      </c>
      <c r="E521" s="11" t="s">
        <v>144</v>
      </c>
      <c r="F521" s="12">
        <v>1744</v>
      </c>
      <c r="G521" s="12">
        <v>1814</v>
      </c>
      <c r="H521" s="12">
        <v>1886</v>
      </c>
    </row>
    <row r="522" spans="1:8" ht="216" x14ac:dyDescent="0.25">
      <c r="A522" s="19">
        <f t="shared" si="301"/>
        <v>511</v>
      </c>
      <c r="B522" s="10" t="s">
        <v>477</v>
      </c>
      <c r="C522" s="11" t="s">
        <v>468</v>
      </c>
      <c r="D522" s="11" t="s">
        <v>478</v>
      </c>
      <c r="E522" s="11"/>
      <c r="F522" s="12">
        <f>SUM(F523)</f>
        <v>19009.400000000001</v>
      </c>
      <c r="G522" s="12">
        <f t="shared" ref="G522:H522" si="304">SUM(G523)</f>
        <v>19631</v>
      </c>
      <c r="H522" s="12">
        <f t="shared" si="304"/>
        <v>20824</v>
      </c>
    </row>
    <row r="523" spans="1:8" x14ac:dyDescent="0.25">
      <c r="A523" s="19">
        <f t="shared" ref="A523:A581" si="305">SUM(A522+1)</f>
        <v>512</v>
      </c>
      <c r="B523" s="10" t="s">
        <v>137</v>
      </c>
      <c r="C523" s="11" t="s">
        <v>468</v>
      </c>
      <c r="D523" s="11" t="s">
        <v>478</v>
      </c>
      <c r="E523" s="11" t="s">
        <v>138</v>
      </c>
      <c r="F523" s="12">
        <f>18439+570.4</f>
        <v>19009.400000000001</v>
      </c>
      <c r="G523" s="12">
        <v>19631</v>
      </c>
      <c r="H523" s="12">
        <v>20824</v>
      </c>
    </row>
    <row r="524" spans="1:8" ht="216" x14ac:dyDescent="0.25">
      <c r="A524" s="19">
        <f t="shared" si="305"/>
        <v>513</v>
      </c>
      <c r="B524" s="10" t="s">
        <v>479</v>
      </c>
      <c r="C524" s="11" t="s">
        <v>468</v>
      </c>
      <c r="D524" s="11" t="s">
        <v>480</v>
      </c>
      <c r="E524" s="11"/>
      <c r="F524" s="12">
        <f>SUM(F525)</f>
        <v>180</v>
      </c>
      <c r="G524" s="12">
        <f t="shared" ref="G524:H524" si="306">SUM(G525)</f>
        <v>187</v>
      </c>
      <c r="H524" s="12">
        <f t="shared" si="306"/>
        <v>195</v>
      </c>
    </row>
    <row r="525" spans="1:8" x14ac:dyDescent="0.25">
      <c r="A525" s="19">
        <f t="shared" si="305"/>
        <v>514</v>
      </c>
      <c r="B525" s="10" t="s">
        <v>137</v>
      </c>
      <c r="C525" s="11" t="s">
        <v>468</v>
      </c>
      <c r="D525" s="11" t="s">
        <v>480</v>
      </c>
      <c r="E525" s="11" t="s">
        <v>138</v>
      </c>
      <c r="F525" s="12">
        <v>180</v>
      </c>
      <c r="G525" s="12">
        <v>187</v>
      </c>
      <c r="H525" s="12">
        <v>195</v>
      </c>
    </row>
    <row r="526" spans="1:8" ht="90" x14ac:dyDescent="0.25">
      <c r="A526" s="19">
        <f t="shared" si="305"/>
        <v>515</v>
      </c>
      <c r="B526" s="10" t="s">
        <v>481</v>
      </c>
      <c r="C526" s="11" t="s">
        <v>468</v>
      </c>
      <c r="D526" s="11" t="s">
        <v>482</v>
      </c>
      <c r="E526" s="11"/>
      <c r="F526" s="12">
        <f>SUM(F527:F528)</f>
        <v>198330.15999999997</v>
      </c>
      <c r="G526" s="12">
        <f t="shared" ref="G526:H526" si="307">SUM(G527:G528)</f>
        <v>197550.3</v>
      </c>
      <c r="H526" s="12">
        <f t="shared" si="307"/>
        <v>203227.8</v>
      </c>
    </row>
    <row r="527" spans="1:8" x14ac:dyDescent="0.25">
      <c r="A527" s="19">
        <f t="shared" si="305"/>
        <v>516</v>
      </c>
      <c r="B527" s="10" t="s">
        <v>137</v>
      </c>
      <c r="C527" s="11" t="s">
        <v>468</v>
      </c>
      <c r="D527" s="11" t="s">
        <v>482</v>
      </c>
      <c r="E527" s="11" t="s">
        <v>138</v>
      </c>
      <c r="F527" s="12">
        <f>90626.5+401.76</f>
        <v>91028.26</v>
      </c>
      <c r="G527" s="12">
        <v>91213</v>
      </c>
      <c r="H527" s="12">
        <v>93918</v>
      </c>
    </row>
    <row r="528" spans="1:8" x14ac:dyDescent="0.25">
      <c r="A528" s="19">
        <f t="shared" si="305"/>
        <v>517</v>
      </c>
      <c r="B528" s="10" t="s">
        <v>143</v>
      </c>
      <c r="C528" s="11" t="s">
        <v>468</v>
      </c>
      <c r="D528" s="11" t="s">
        <v>482</v>
      </c>
      <c r="E528" s="11" t="s">
        <v>144</v>
      </c>
      <c r="F528" s="12">
        <f>106002.23+1299.67</f>
        <v>107301.9</v>
      </c>
      <c r="G528" s="12">
        <v>106337.3</v>
      </c>
      <c r="H528" s="12">
        <v>109309.8</v>
      </c>
    </row>
    <row r="529" spans="1:8" ht="171.75" customHeight="1" x14ac:dyDescent="0.25">
      <c r="A529" s="19">
        <f t="shared" si="305"/>
        <v>518</v>
      </c>
      <c r="B529" s="10" t="s">
        <v>819</v>
      </c>
      <c r="C529" s="11" t="s">
        <v>468</v>
      </c>
      <c r="D529" s="11" t="s">
        <v>483</v>
      </c>
      <c r="E529" s="11"/>
      <c r="F529" s="12">
        <f>SUM(F530:F531)</f>
        <v>8569.02</v>
      </c>
      <c r="G529" s="12">
        <f t="shared" ref="G529:H529" si="308">SUM(G530:G531)</f>
        <v>0</v>
      </c>
      <c r="H529" s="12">
        <f t="shared" si="308"/>
        <v>10000</v>
      </c>
    </row>
    <row r="530" spans="1:8" x14ac:dyDescent="0.25">
      <c r="A530" s="19">
        <f t="shared" si="305"/>
        <v>519</v>
      </c>
      <c r="B530" s="10" t="s">
        <v>137</v>
      </c>
      <c r="C530" s="11" t="s">
        <v>468</v>
      </c>
      <c r="D530" s="11" t="s">
        <v>483</v>
      </c>
      <c r="E530" s="11" t="s">
        <v>138</v>
      </c>
      <c r="F530" s="12">
        <f>1030.16+3272</f>
        <v>4302.16</v>
      </c>
      <c r="G530" s="12">
        <v>0</v>
      </c>
      <c r="H530" s="12">
        <v>10000</v>
      </c>
    </row>
    <row r="531" spans="1:8" x14ac:dyDescent="0.25">
      <c r="A531" s="19">
        <f t="shared" si="305"/>
        <v>520</v>
      </c>
      <c r="B531" s="10" t="s">
        <v>143</v>
      </c>
      <c r="C531" s="11" t="s">
        <v>468</v>
      </c>
      <c r="D531" s="11" t="s">
        <v>483</v>
      </c>
      <c r="E531" s="11" t="s">
        <v>144</v>
      </c>
      <c r="F531" s="12">
        <f>4397.15-130.29</f>
        <v>4266.8599999999997</v>
      </c>
      <c r="G531" s="12">
        <v>0</v>
      </c>
      <c r="H531" s="12">
        <v>0</v>
      </c>
    </row>
    <row r="532" spans="1:8" ht="126" x14ac:dyDescent="0.25">
      <c r="A532" s="19">
        <f t="shared" si="305"/>
        <v>521</v>
      </c>
      <c r="B532" s="10" t="s">
        <v>484</v>
      </c>
      <c r="C532" s="11" t="s">
        <v>468</v>
      </c>
      <c r="D532" s="11" t="s">
        <v>485</v>
      </c>
      <c r="E532" s="11"/>
      <c r="F532" s="12">
        <f>SUM(F533:F534)</f>
        <v>4102.1799999999994</v>
      </c>
      <c r="G532" s="12">
        <f t="shared" ref="G532:H532" si="309">SUM(G533:G534)</f>
        <v>7870.73</v>
      </c>
      <c r="H532" s="12">
        <f t="shared" si="309"/>
        <v>0</v>
      </c>
    </row>
    <row r="533" spans="1:8" x14ac:dyDescent="0.25">
      <c r="A533" s="19">
        <f t="shared" si="305"/>
        <v>522</v>
      </c>
      <c r="B533" s="10" t="s">
        <v>137</v>
      </c>
      <c r="C533" s="11" t="s">
        <v>468</v>
      </c>
      <c r="D533" s="11" t="s">
        <v>485</v>
      </c>
      <c r="E533" s="11" t="s">
        <v>138</v>
      </c>
      <c r="F533" s="12">
        <v>2112.9499999999998</v>
      </c>
      <c r="G533" s="12">
        <v>3000</v>
      </c>
      <c r="H533" s="12">
        <v>0</v>
      </c>
    </row>
    <row r="534" spans="1:8" x14ac:dyDescent="0.25">
      <c r="A534" s="19">
        <f t="shared" si="305"/>
        <v>523</v>
      </c>
      <c r="B534" s="10" t="s">
        <v>143</v>
      </c>
      <c r="C534" s="11" t="s">
        <v>468</v>
      </c>
      <c r="D534" s="11" t="s">
        <v>485</v>
      </c>
      <c r="E534" s="11" t="s">
        <v>144</v>
      </c>
      <c r="F534" s="12">
        <f>3199.12-1209.89</f>
        <v>1989.2299999999998</v>
      </c>
      <c r="G534" s="12">
        <v>4870.7299999999996</v>
      </c>
      <c r="H534" s="12">
        <v>0</v>
      </c>
    </row>
    <row r="535" spans="1:8" ht="54" x14ac:dyDescent="0.25">
      <c r="A535" s="19">
        <f t="shared" si="305"/>
        <v>524</v>
      </c>
      <c r="B535" s="10" t="s">
        <v>103</v>
      </c>
      <c r="C535" s="11" t="s">
        <v>468</v>
      </c>
      <c r="D535" s="11" t="s">
        <v>104</v>
      </c>
      <c r="E535" s="11"/>
      <c r="F535" s="12">
        <f>SUM(F536)</f>
        <v>5145</v>
      </c>
      <c r="G535" s="12">
        <f t="shared" ref="G535:H535" si="310">SUM(G536)</f>
        <v>0</v>
      </c>
      <c r="H535" s="12">
        <f t="shared" si="310"/>
        <v>0</v>
      </c>
    </row>
    <row r="536" spans="1:8" ht="54" x14ac:dyDescent="0.25">
      <c r="A536" s="19">
        <f t="shared" si="305"/>
        <v>525</v>
      </c>
      <c r="B536" s="10" t="s">
        <v>105</v>
      </c>
      <c r="C536" s="11" t="s">
        <v>468</v>
      </c>
      <c r="D536" s="11" t="s">
        <v>106</v>
      </c>
      <c r="E536" s="11"/>
      <c r="F536" s="12">
        <f>SUM(F537)</f>
        <v>5145</v>
      </c>
      <c r="G536" s="12">
        <f t="shared" ref="G536:H536" si="311">SUM(G537)</f>
        <v>0</v>
      </c>
      <c r="H536" s="12">
        <f t="shared" si="311"/>
        <v>0</v>
      </c>
    </row>
    <row r="537" spans="1:8" ht="108" x14ac:dyDescent="0.25">
      <c r="A537" s="19">
        <f t="shared" si="305"/>
        <v>526</v>
      </c>
      <c r="B537" s="10" t="s">
        <v>514</v>
      </c>
      <c r="C537" s="11" t="s">
        <v>468</v>
      </c>
      <c r="D537" s="11" t="s">
        <v>515</v>
      </c>
      <c r="E537" s="11"/>
      <c r="F537" s="12">
        <f>SUM(F538:F539)</f>
        <v>5145</v>
      </c>
      <c r="G537" s="12">
        <f t="shared" ref="G537:H537" si="312">SUM(G538:G539)</f>
        <v>0</v>
      </c>
      <c r="H537" s="12">
        <f t="shared" si="312"/>
        <v>0</v>
      </c>
    </row>
    <row r="538" spans="1:8" x14ac:dyDescent="0.25">
      <c r="A538" s="19">
        <f t="shared" si="301"/>
        <v>527</v>
      </c>
      <c r="B538" s="10" t="s">
        <v>137</v>
      </c>
      <c r="C538" s="11" t="s">
        <v>468</v>
      </c>
      <c r="D538" s="11" t="s">
        <v>515</v>
      </c>
      <c r="E538" s="11" t="s">
        <v>138</v>
      </c>
      <c r="F538" s="12">
        <v>4410</v>
      </c>
      <c r="G538" s="12">
        <v>0</v>
      </c>
      <c r="H538" s="12">
        <v>0</v>
      </c>
    </row>
    <row r="539" spans="1:8" x14ac:dyDescent="0.25">
      <c r="A539" s="19">
        <f t="shared" si="301"/>
        <v>528</v>
      </c>
      <c r="B539" s="10" t="s">
        <v>143</v>
      </c>
      <c r="C539" s="11" t="s">
        <v>468</v>
      </c>
      <c r="D539" s="11" t="s">
        <v>515</v>
      </c>
      <c r="E539" s="11" t="s">
        <v>144</v>
      </c>
      <c r="F539" s="12">
        <v>735</v>
      </c>
      <c r="G539" s="12">
        <v>0</v>
      </c>
      <c r="H539" s="12">
        <v>0</v>
      </c>
    </row>
    <row r="540" spans="1:8" x14ac:dyDescent="0.25">
      <c r="A540" s="18">
        <f t="shared" si="301"/>
        <v>529</v>
      </c>
      <c r="B540" s="14" t="s">
        <v>486</v>
      </c>
      <c r="C540" s="15" t="s">
        <v>487</v>
      </c>
      <c r="D540" s="15"/>
      <c r="E540" s="15"/>
      <c r="F540" s="16">
        <f>SUM(F541+F545+F584+F588)</f>
        <v>774838.21000000008</v>
      </c>
      <c r="G540" s="16">
        <f>SUM(G541+G545+G584+G588)</f>
        <v>727752.99</v>
      </c>
      <c r="H540" s="16">
        <f>SUM(H541+H545+H584+H588)</f>
        <v>768511.8</v>
      </c>
    </row>
    <row r="541" spans="1:8" ht="72" x14ac:dyDescent="0.25">
      <c r="A541" s="19">
        <f t="shared" si="301"/>
        <v>530</v>
      </c>
      <c r="B541" s="10" t="s">
        <v>266</v>
      </c>
      <c r="C541" s="11" t="s">
        <v>487</v>
      </c>
      <c r="D541" s="11" t="s">
        <v>267</v>
      </c>
      <c r="E541" s="11"/>
      <c r="F541" s="12">
        <f>SUM(F542)</f>
        <v>0</v>
      </c>
      <c r="G541" s="12">
        <f t="shared" ref="G541:H541" si="313">SUM(G542)</f>
        <v>4945.3900000000003</v>
      </c>
      <c r="H541" s="12">
        <f t="shared" si="313"/>
        <v>0</v>
      </c>
    </row>
    <row r="542" spans="1:8" ht="36" x14ac:dyDescent="0.25">
      <c r="A542" s="19">
        <f t="shared" si="301"/>
        <v>531</v>
      </c>
      <c r="B542" s="10" t="s">
        <v>337</v>
      </c>
      <c r="C542" s="11" t="s">
        <v>487</v>
      </c>
      <c r="D542" s="11" t="s">
        <v>338</v>
      </c>
      <c r="E542" s="11"/>
      <c r="F542" s="12">
        <f>SUM(F543)</f>
        <v>0</v>
      </c>
      <c r="G542" s="12">
        <f t="shared" ref="G542:H542" si="314">SUM(G543)</f>
        <v>4945.3900000000003</v>
      </c>
      <c r="H542" s="12">
        <f t="shared" si="314"/>
        <v>0</v>
      </c>
    </row>
    <row r="543" spans="1:8" ht="36" x14ac:dyDescent="0.25">
      <c r="A543" s="19">
        <f t="shared" si="301"/>
        <v>532</v>
      </c>
      <c r="B543" s="10" t="s">
        <v>751</v>
      </c>
      <c r="C543" s="11" t="s">
        <v>487</v>
      </c>
      <c r="D543" s="11" t="s">
        <v>750</v>
      </c>
      <c r="E543" s="11"/>
      <c r="F543" s="12">
        <f>SUM(F544)</f>
        <v>0</v>
      </c>
      <c r="G543" s="12">
        <f t="shared" ref="G543:H543" si="315">SUM(G544)</f>
        <v>4945.3900000000003</v>
      </c>
      <c r="H543" s="12">
        <f t="shared" si="315"/>
        <v>0</v>
      </c>
    </row>
    <row r="544" spans="1:8" x14ac:dyDescent="0.25">
      <c r="A544" s="19">
        <f t="shared" si="301"/>
        <v>533</v>
      </c>
      <c r="B544" s="10" t="s">
        <v>319</v>
      </c>
      <c r="C544" s="11" t="s">
        <v>487</v>
      </c>
      <c r="D544" s="11" t="s">
        <v>750</v>
      </c>
      <c r="E544" s="11" t="s">
        <v>320</v>
      </c>
      <c r="F544" s="12">
        <v>0</v>
      </c>
      <c r="G544" s="12">
        <v>4945.3900000000003</v>
      </c>
      <c r="H544" s="12">
        <v>0</v>
      </c>
    </row>
    <row r="545" spans="1:8" ht="54" x14ac:dyDescent="0.25">
      <c r="A545" s="19">
        <f t="shared" si="305"/>
        <v>534</v>
      </c>
      <c r="B545" s="10" t="s">
        <v>469</v>
      </c>
      <c r="C545" s="11" t="s">
        <v>487</v>
      </c>
      <c r="D545" s="11" t="s">
        <v>470</v>
      </c>
      <c r="E545" s="11"/>
      <c r="F545" s="12">
        <f>SUM(F546)</f>
        <v>773313.21000000008</v>
      </c>
      <c r="G545" s="12">
        <f t="shared" ref="G545:H545" si="316">SUM(G546)</f>
        <v>722742.6</v>
      </c>
      <c r="H545" s="12">
        <f t="shared" si="316"/>
        <v>768446.8</v>
      </c>
    </row>
    <row r="546" spans="1:8" ht="54" x14ac:dyDescent="0.25">
      <c r="A546" s="19">
        <f t="shared" si="305"/>
        <v>535</v>
      </c>
      <c r="B546" s="10" t="s">
        <v>488</v>
      </c>
      <c r="C546" s="11" t="s">
        <v>487</v>
      </c>
      <c r="D546" s="11" t="s">
        <v>489</v>
      </c>
      <c r="E546" s="11"/>
      <c r="F546" s="12">
        <f>SUM(F547+F550+F553+F556+F559+F562+F567+F570+F572+F575+F578+F581+F565)</f>
        <v>773313.21000000008</v>
      </c>
      <c r="G546" s="12">
        <f t="shared" ref="G546:H546" si="317">SUM(G547+G550+G553+G556+G559+G562+G567+G570+G572+G575+G578+G581+G565)</f>
        <v>722742.6</v>
      </c>
      <c r="H546" s="12">
        <f t="shared" si="317"/>
        <v>768446.8</v>
      </c>
    </row>
    <row r="547" spans="1:8" ht="215.25" customHeight="1" x14ac:dyDescent="0.25">
      <c r="A547" s="19">
        <f t="shared" si="305"/>
        <v>536</v>
      </c>
      <c r="B547" s="10" t="s">
        <v>490</v>
      </c>
      <c r="C547" s="11" t="s">
        <v>487</v>
      </c>
      <c r="D547" s="11" t="s">
        <v>491</v>
      </c>
      <c r="E547" s="11"/>
      <c r="F547" s="12">
        <f>SUM(F548:F549)</f>
        <v>431653.5</v>
      </c>
      <c r="G547" s="12">
        <f t="shared" ref="G547:H547" si="318">SUM(G548:G549)</f>
        <v>440107</v>
      </c>
      <c r="H547" s="12">
        <f t="shared" si="318"/>
        <v>466863</v>
      </c>
    </row>
    <row r="548" spans="1:8" x14ac:dyDescent="0.25">
      <c r="A548" s="19">
        <f t="shared" si="305"/>
        <v>537</v>
      </c>
      <c r="B548" s="10" t="s">
        <v>137</v>
      </c>
      <c r="C548" s="11" t="s">
        <v>487</v>
      </c>
      <c r="D548" s="11" t="s">
        <v>491</v>
      </c>
      <c r="E548" s="11" t="s">
        <v>138</v>
      </c>
      <c r="F548" s="12">
        <f>237606.8+12259.6</f>
        <v>249866.4</v>
      </c>
      <c r="G548" s="12">
        <v>252442</v>
      </c>
      <c r="H548" s="12">
        <v>267789</v>
      </c>
    </row>
    <row r="549" spans="1:8" x14ac:dyDescent="0.25">
      <c r="A549" s="19">
        <f t="shared" si="305"/>
        <v>538</v>
      </c>
      <c r="B549" s="10" t="s">
        <v>143</v>
      </c>
      <c r="C549" s="11" t="s">
        <v>487</v>
      </c>
      <c r="D549" s="11" t="s">
        <v>491</v>
      </c>
      <c r="E549" s="11" t="s">
        <v>144</v>
      </c>
      <c r="F549" s="12">
        <f>175783.2+6003.9</f>
        <v>181787.1</v>
      </c>
      <c r="G549" s="12">
        <v>187665</v>
      </c>
      <c r="H549" s="12">
        <v>199074</v>
      </c>
    </row>
    <row r="550" spans="1:8" ht="216" x14ac:dyDescent="0.25">
      <c r="A550" s="19">
        <f t="shared" si="305"/>
        <v>539</v>
      </c>
      <c r="B550" s="10" t="s">
        <v>492</v>
      </c>
      <c r="C550" s="11" t="s">
        <v>487</v>
      </c>
      <c r="D550" s="11" t="s">
        <v>493</v>
      </c>
      <c r="E550" s="11"/>
      <c r="F550" s="12">
        <f>SUM(F551:F552)</f>
        <v>18205</v>
      </c>
      <c r="G550" s="12">
        <f t="shared" ref="G550:H550" si="319">SUM(G551:G552)</f>
        <v>18933</v>
      </c>
      <c r="H550" s="12">
        <f t="shared" si="319"/>
        <v>19690</v>
      </c>
    </row>
    <row r="551" spans="1:8" x14ac:dyDescent="0.25">
      <c r="A551" s="19">
        <f t="shared" si="305"/>
        <v>540</v>
      </c>
      <c r="B551" s="10" t="s">
        <v>137</v>
      </c>
      <c r="C551" s="11" t="s">
        <v>487</v>
      </c>
      <c r="D551" s="11" t="s">
        <v>493</v>
      </c>
      <c r="E551" s="11" t="s">
        <v>138</v>
      </c>
      <c r="F551" s="12">
        <f>9814+265</f>
        <v>10079</v>
      </c>
      <c r="G551" s="12">
        <v>10207</v>
      </c>
      <c r="H551" s="12">
        <v>10615</v>
      </c>
    </row>
    <row r="552" spans="1:8" x14ac:dyDescent="0.25">
      <c r="A552" s="19">
        <f t="shared" si="305"/>
        <v>541</v>
      </c>
      <c r="B552" s="10" t="s">
        <v>143</v>
      </c>
      <c r="C552" s="11" t="s">
        <v>487</v>
      </c>
      <c r="D552" s="11" t="s">
        <v>493</v>
      </c>
      <c r="E552" s="11" t="s">
        <v>144</v>
      </c>
      <c r="F552" s="12">
        <f>8391-265</f>
        <v>8126</v>
      </c>
      <c r="G552" s="12">
        <v>8726</v>
      </c>
      <c r="H552" s="12">
        <v>9075</v>
      </c>
    </row>
    <row r="553" spans="1:8" ht="72" x14ac:dyDescent="0.25">
      <c r="A553" s="19">
        <f t="shared" si="305"/>
        <v>542</v>
      </c>
      <c r="B553" s="10" t="s">
        <v>494</v>
      </c>
      <c r="C553" s="11" t="s">
        <v>487</v>
      </c>
      <c r="D553" s="11" t="s">
        <v>495</v>
      </c>
      <c r="E553" s="11"/>
      <c r="F553" s="12">
        <f>SUM(F554:F555)</f>
        <v>47339.7</v>
      </c>
      <c r="G553" s="12">
        <f t="shared" ref="G553:H553" si="320">SUM(G554:G555)</f>
        <v>49230.3</v>
      </c>
      <c r="H553" s="12">
        <f t="shared" si="320"/>
        <v>51196.3</v>
      </c>
    </row>
    <row r="554" spans="1:8" x14ac:dyDescent="0.25">
      <c r="A554" s="19">
        <f t="shared" si="305"/>
        <v>543</v>
      </c>
      <c r="B554" s="10" t="s">
        <v>137</v>
      </c>
      <c r="C554" s="11" t="s">
        <v>487</v>
      </c>
      <c r="D554" s="11" t="s">
        <v>495</v>
      </c>
      <c r="E554" s="11" t="s">
        <v>138</v>
      </c>
      <c r="F554" s="12">
        <f>24361.2+45</f>
        <v>24406.2</v>
      </c>
      <c r="G554" s="12">
        <v>25380</v>
      </c>
      <c r="H554" s="12">
        <v>26395</v>
      </c>
    </row>
    <row r="555" spans="1:8" x14ac:dyDescent="0.25">
      <c r="A555" s="19">
        <f t="shared" si="305"/>
        <v>544</v>
      </c>
      <c r="B555" s="10" t="s">
        <v>143</v>
      </c>
      <c r="C555" s="11" t="s">
        <v>487</v>
      </c>
      <c r="D555" s="11" t="s">
        <v>495</v>
      </c>
      <c r="E555" s="11" t="s">
        <v>144</v>
      </c>
      <c r="F555" s="12">
        <f>22978.5-45</f>
        <v>22933.5</v>
      </c>
      <c r="G555" s="12">
        <v>23850.3</v>
      </c>
      <c r="H555" s="12">
        <v>24801.3</v>
      </c>
    </row>
    <row r="556" spans="1:8" ht="57" customHeight="1" x14ac:dyDescent="0.25">
      <c r="A556" s="19">
        <f t="shared" si="305"/>
        <v>545</v>
      </c>
      <c r="B556" s="10" t="s">
        <v>496</v>
      </c>
      <c r="C556" s="11" t="s">
        <v>487</v>
      </c>
      <c r="D556" s="11" t="s">
        <v>497</v>
      </c>
      <c r="E556" s="11"/>
      <c r="F556" s="12">
        <f>SUM(F557:F558)</f>
        <v>881.5</v>
      </c>
      <c r="G556" s="12">
        <f t="shared" ref="G556:H556" si="321">SUM(G557:G558)</f>
        <v>0</v>
      </c>
      <c r="H556" s="12">
        <f t="shared" si="321"/>
        <v>0</v>
      </c>
    </row>
    <row r="557" spans="1:8" x14ac:dyDescent="0.25">
      <c r="A557" s="19">
        <f t="shared" si="305"/>
        <v>546</v>
      </c>
      <c r="B557" s="10" t="s">
        <v>137</v>
      </c>
      <c r="C557" s="11" t="s">
        <v>487</v>
      </c>
      <c r="D557" s="11" t="s">
        <v>497</v>
      </c>
      <c r="E557" s="11" t="s">
        <v>138</v>
      </c>
      <c r="F557" s="12">
        <f>449.9-15.87</f>
        <v>434.03</v>
      </c>
      <c r="G557" s="12">
        <v>0</v>
      </c>
      <c r="H557" s="12">
        <v>0</v>
      </c>
    </row>
    <row r="558" spans="1:8" x14ac:dyDescent="0.25">
      <c r="A558" s="19">
        <f t="shared" si="305"/>
        <v>547</v>
      </c>
      <c r="B558" s="10" t="s">
        <v>143</v>
      </c>
      <c r="C558" s="11" t="s">
        <v>487</v>
      </c>
      <c r="D558" s="11" t="s">
        <v>497</v>
      </c>
      <c r="E558" s="11" t="s">
        <v>144</v>
      </c>
      <c r="F558" s="12">
        <f>431.6+15.87</f>
        <v>447.47</v>
      </c>
      <c r="G558" s="12">
        <v>0</v>
      </c>
      <c r="H558" s="12">
        <v>0</v>
      </c>
    </row>
    <row r="559" spans="1:8" ht="72" x14ac:dyDescent="0.25">
      <c r="A559" s="19">
        <f t="shared" si="305"/>
        <v>548</v>
      </c>
      <c r="B559" s="10" t="s">
        <v>498</v>
      </c>
      <c r="C559" s="11" t="s">
        <v>487</v>
      </c>
      <c r="D559" s="11" t="s">
        <v>499</v>
      </c>
      <c r="E559" s="11"/>
      <c r="F559" s="12">
        <f>SUM(F560:F561)</f>
        <v>176558.41000000003</v>
      </c>
      <c r="G559" s="12">
        <f t="shared" ref="G559:H559" si="322">SUM(G560:G561)</f>
        <v>180746</v>
      </c>
      <c r="H559" s="12">
        <f t="shared" si="322"/>
        <v>183093.2</v>
      </c>
    </row>
    <row r="560" spans="1:8" x14ac:dyDescent="0.25">
      <c r="A560" s="19">
        <f t="shared" si="301"/>
        <v>549</v>
      </c>
      <c r="B560" s="10" t="s">
        <v>137</v>
      </c>
      <c r="C560" s="11" t="s">
        <v>487</v>
      </c>
      <c r="D560" s="11" t="s">
        <v>499</v>
      </c>
      <c r="E560" s="11" t="s">
        <v>138</v>
      </c>
      <c r="F560" s="12">
        <f>99363.85+295.35</f>
        <v>99659.200000000012</v>
      </c>
      <c r="G560" s="12">
        <v>102864</v>
      </c>
      <c r="H560" s="12">
        <v>103493.2</v>
      </c>
    </row>
    <row r="561" spans="1:8" x14ac:dyDescent="0.25">
      <c r="A561" s="19">
        <f t="shared" si="301"/>
        <v>550</v>
      </c>
      <c r="B561" s="10" t="s">
        <v>143</v>
      </c>
      <c r="C561" s="11" t="s">
        <v>487</v>
      </c>
      <c r="D561" s="11" t="s">
        <v>499</v>
      </c>
      <c r="E561" s="11" t="s">
        <v>144</v>
      </c>
      <c r="F561" s="12">
        <v>76899.210000000006</v>
      </c>
      <c r="G561" s="12">
        <v>77882</v>
      </c>
      <c r="H561" s="12">
        <v>79600</v>
      </c>
    </row>
    <row r="562" spans="1:8" ht="180" x14ac:dyDescent="0.25">
      <c r="A562" s="19">
        <f t="shared" si="301"/>
        <v>551</v>
      </c>
      <c r="B562" s="10" t="s">
        <v>820</v>
      </c>
      <c r="C562" s="11" t="s">
        <v>487</v>
      </c>
      <c r="D562" s="11" t="s">
        <v>500</v>
      </c>
      <c r="E562" s="11"/>
      <c r="F562" s="12">
        <f>SUM(F563:F564)</f>
        <v>10212.570000000002</v>
      </c>
      <c r="G562" s="12">
        <f t="shared" ref="G562:H562" si="323">SUM(G563:G564)</f>
        <v>5835.7</v>
      </c>
      <c r="H562" s="12">
        <f t="shared" si="323"/>
        <v>15000</v>
      </c>
    </row>
    <row r="563" spans="1:8" x14ac:dyDescent="0.25">
      <c r="A563" s="19">
        <f t="shared" si="301"/>
        <v>552</v>
      </c>
      <c r="B563" s="10" t="s">
        <v>137</v>
      </c>
      <c r="C563" s="11" t="s">
        <v>487</v>
      </c>
      <c r="D563" s="11" t="s">
        <v>500</v>
      </c>
      <c r="E563" s="11" t="s">
        <v>138</v>
      </c>
      <c r="F563" s="12">
        <f>8718.92+130.29</f>
        <v>8849.2100000000009</v>
      </c>
      <c r="G563" s="12">
        <v>3000</v>
      </c>
      <c r="H563" s="12">
        <v>10000</v>
      </c>
    </row>
    <row r="564" spans="1:8" x14ac:dyDescent="0.25">
      <c r="A564" s="19">
        <f t="shared" si="301"/>
        <v>553</v>
      </c>
      <c r="B564" s="10" t="s">
        <v>143</v>
      </c>
      <c r="C564" s="11" t="s">
        <v>487</v>
      </c>
      <c r="D564" s="11" t="s">
        <v>500</v>
      </c>
      <c r="E564" s="11" t="s">
        <v>144</v>
      </c>
      <c r="F564" s="12">
        <f>2063.66-814.71+114.41</f>
        <v>1363.36</v>
      </c>
      <c r="G564" s="12">
        <v>2835.7</v>
      </c>
      <c r="H564" s="12">
        <v>5000</v>
      </c>
    </row>
    <row r="565" spans="1:8" ht="72" x14ac:dyDescent="0.25">
      <c r="A565" s="19">
        <f t="shared" si="301"/>
        <v>554</v>
      </c>
      <c r="B565" s="10" t="s">
        <v>803</v>
      </c>
      <c r="C565" s="11" t="s">
        <v>487</v>
      </c>
      <c r="D565" s="24" t="s">
        <v>802</v>
      </c>
      <c r="E565" s="11"/>
      <c r="F565" s="12">
        <f>SUM(F566)</f>
        <v>422</v>
      </c>
      <c r="G565" s="12">
        <f t="shared" ref="G565:H565" si="324">SUM(G566)</f>
        <v>0</v>
      </c>
      <c r="H565" s="12">
        <f t="shared" si="324"/>
        <v>0</v>
      </c>
    </row>
    <row r="566" spans="1:8" x14ac:dyDescent="0.25">
      <c r="A566" s="19">
        <f t="shared" si="301"/>
        <v>555</v>
      </c>
      <c r="B566" s="10" t="s">
        <v>137</v>
      </c>
      <c r="C566" s="11" t="s">
        <v>487</v>
      </c>
      <c r="D566" s="24" t="s">
        <v>802</v>
      </c>
      <c r="E566" s="11">
        <v>610</v>
      </c>
      <c r="F566" s="12">
        <v>422</v>
      </c>
      <c r="G566" s="12">
        <v>0</v>
      </c>
      <c r="H566" s="12">
        <v>0</v>
      </c>
    </row>
    <row r="567" spans="1:8" ht="126" x14ac:dyDescent="0.25">
      <c r="A567" s="19">
        <f t="shared" si="305"/>
        <v>556</v>
      </c>
      <c r="B567" s="10" t="s">
        <v>501</v>
      </c>
      <c r="C567" s="11" t="s">
        <v>487</v>
      </c>
      <c r="D567" s="11" t="s">
        <v>502</v>
      </c>
      <c r="E567" s="11"/>
      <c r="F567" s="12">
        <f>SUM(F568:F569)</f>
        <v>3337.9300000000003</v>
      </c>
      <c r="G567" s="12">
        <f t="shared" ref="G567:H567" si="325">SUM(G568:G569)</f>
        <v>0</v>
      </c>
      <c r="H567" s="12">
        <f t="shared" si="325"/>
        <v>5000</v>
      </c>
    </row>
    <row r="568" spans="1:8" x14ac:dyDescent="0.25">
      <c r="A568" s="19">
        <f t="shared" si="305"/>
        <v>557</v>
      </c>
      <c r="B568" s="10" t="s">
        <v>137</v>
      </c>
      <c r="C568" s="11" t="s">
        <v>487</v>
      </c>
      <c r="D568" s="11" t="s">
        <v>502</v>
      </c>
      <c r="E568" s="11" t="s">
        <v>138</v>
      </c>
      <c r="F568" s="12">
        <v>685.45</v>
      </c>
      <c r="G568" s="12">
        <v>0</v>
      </c>
      <c r="H568" s="12">
        <v>5000</v>
      </c>
    </row>
    <row r="569" spans="1:8" x14ac:dyDescent="0.25">
      <c r="A569" s="19">
        <f t="shared" si="305"/>
        <v>558</v>
      </c>
      <c r="B569" s="10" t="s">
        <v>143</v>
      </c>
      <c r="C569" s="11" t="s">
        <v>487</v>
      </c>
      <c r="D569" s="11" t="s">
        <v>502</v>
      </c>
      <c r="E569" s="11" t="s">
        <v>144</v>
      </c>
      <c r="F569" s="12">
        <f>1837.77+814.71</f>
        <v>2652.48</v>
      </c>
      <c r="G569" s="12">
        <v>0</v>
      </c>
      <c r="H569" s="12">
        <v>0</v>
      </c>
    </row>
    <row r="570" spans="1:8" ht="90" x14ac:dyDescent="0.25">
      <c r="A570" s="19">
        <f t="shared" si="305"/>
        <v>559</v>
      </c>
      <c r="B570" s="10" t="s">
        <v>503</v>
      </c>
      <c r="C570" s="11" t="s">
        <v>487</v>
      </c>
      <c r="D570" s="11" t="s">
        <v>504</v>
      </c>
      <c r="E570" s="11"/>
      <c r="F570" s="12">
        <f>SUM(F571)</f>
        <v>208</v>
      </c>
      <c r="G570" s="12">
        <f t="shared" ref="G570:H570" si="326">SUM(G571)</f>
        <v>208</v>
      </c>
      <c r="H570" s="12">
        <f t="shared" si="326"/>
        <v>208</v>
      </c>
    </row>
    <row r="571" spans="1:8" x14ac:dyDescent="0.25">
      <c r="A571" s="19">
        <f t="shared" si="305"/>
        <v>560</v>
      </c>
      <c r="B571" s="10" t="s">
        <v>204</v>
      </c>
      <c r="C571" s="11" t="s">
        <v>487</v>
      </c>
      <c r="D571" s="11" t="s">
        <v>504</v>
      </c>
      <c r="E571" s="11" t="s">
        <v>205</v>
      </c>
      <c r="F571" s="12">
        <v>208</v>
      </c>
      <c r="G571" s="12">
        <v>208</v>
      </c>
      <c r="H571" s="12">
        <v>208</v>
      </c>
    </row>
    <row r="572" spans="1:8" ht="180" x14ac:dyDescent="0.25">
      <c r="A572" s="19">
        <f t="shared" si="305"/>
        <v>561</v>
      </c>
      <c r="B572" s="10" t="s">
        <v>505</v>
      </c>
      <c r="C572" s="11" t="s">
        <v>487</v>
      </c>
      <c r="D572" s="11" t="s">
        <v>506</v>
      </c>
      <c r="E572" s="11"/>
      <c r="F572" s="12">
        <f>SUM(F573:F574)</f>
        <v>44170.399999999994</v>
      </c>
      <c r="G572" s="12">
        <f t="shared" ref="G572:H572" si="327">SUM(G573:G574)</f>
        <v>0</v>
      </c>
      <c r="H572" s="12">
        <f t="shared" si="327"/>
        <v>0</v>
      </c>
    </row>
    <row r="573" spans="1:8" x14ac:dyDescent="0.25">
      <c r="A573" s="19">
        <f t="shared" si="305"/>
        <v>562</v>
      </c>
      <c r="B573" s="10" t="s">
        <v>137</v>
      </c>
      <c r="C573" s="11" t="s">
        <v>487</v>
      </c>
      <c r="D573" s="11" t="s">
        <v>506</v>
      </c>
      <c r="E573" s="11" t="s">
        <v>138</v>
      </c>
      <c r="F573" s="12">
        <f>16560.2+9163.5</f>
        <v>25723.7</v>
      </c>
      <c r="G573" s="12">
        <v>0</v>
      </c>
      <c r="H573" s="12">
        <v>0</v>
      </c>
    </row>
    <row r="574" spans="1:8" x14ac:dyDescent="0.25">
      <c r="A574" s="19">
        <f t="shared" si="305"/>
        <v>563</v>
      </c>
      <c r="B574" s="10" t="s">
        <v>143</v>
      </c>
      <c r="C574" s="11" t="s">
        <v>487</v>
      </c>
      <c r="D574" s="11" t="s">
        <v>506</v>
      </c>
      <c r="E574" s="11" t="s">
        <v>144</v>
      </c>
      <c r="F574" s="12">
        <f>11738.8+6707.9</f>
        <v>18446.699999999997</v>
      </c>
      <c r="G574" s="12">
        <v>0</v>
      </c>
      <c r="H574" s="12">
        <v>0</v>
      </c>
    </row>
    <row r="575" spans="1:8" ht="90" x14ac:dyDescent="0.25">
      <c r="A575" s="19">
        <f t="shared" si="305"/>
        <v>564</v>
      </c>
      <c r="B575" s="10" t="s">
        <v>507</v>
      </c>
      <c r="C575" s="11" t="s">
        <v>487</v>
      </c>
      <c r="D575" s="11" t="s">
        <v>508</v>
      </c>
      <c r="E575" s="11"/>
      <c r="F575" s="12">
        <f>SUM(F576:F577)</f>
        <v>27442.7</v>
      </c>
      <c r="G575" s="12">
        <f t="shared" ref="G575:H575" si="328">SUM(G576:G577)</f>
        <v>27682.6</v>
      </c>
      <c r="H575" s="12">
        <f t="shared" si="328"/>
        <v>27396.3</v>
      </c>
    </row>
    <row r="576" spans="1:8" x14ac:dyDescent="0.25">
      <c r="A576" s="19">
        <f t="shared" si="305"/>
        <v>565</v>
      </c>
      <c r="B576" s="10" t="s">
        <v>137</v>
      </c>
      <c r="C576" s="11" t="s">
        <v>487</v>
      </c>
      <c r="D576" s="11" t="s">
        <v>508</v>
      </c>
      <c r="E576" s="11" t="s">
        <v>138</v>
      </c>
      <c r="F576" s="12">
        <v>14449.7</v>
      </c>
      <c r="G576" s="12">
        <v>14525</v>
      </c>
      <c r="H576" s="12">
        <v>14361.82</v>
      </c>
    </row>
    <row r="577" spans="1:8" x14ac:dyDescent="0.25">
      <c r="A577" s="19">
        <f t="shared" si="305"/>
        <v>566</v>
      </c>
      <c r="B577" s="10" t="s">
        <v>143</v>
      </c>
      <c r="C577" s="11" t="s">
        <v>487</v>
      </c>
      <c r="D577" s="11" t="s">
        <v>508</v>
      </c>
      <c r="E577" s="11" t="s">
        <v>144</v>
      </c>
      <c r="F577" s="12">
        <v>12993</v>
      </c>
      <c r="G577" s="12">
        <v>13157.6</v>
      </c>
      <c r="H577" s="12">
        <v>13034.48</v>
      </c>
    </row>
    <row r="578" spans="1:8" ht="72" x14ac:dyDescent="0.25">
      <c r="A578" s="19">
        <f t="shared" si="305"/>
        <v>567</v>
      </c>
      <c r="B578" s="10" t="s">
        <v>496</v>
      </c>
      <c r="C578" s="11" t="s">
        <v>487</v>
      </c>
      <c r="D578" s="11" t="s">
        <v>509</v>
      </c>
      <c r="E578" s="11"/>
      <c r="F578" s="12">
        <f>SUM(F579:F580)</f>
        <v>881.5</v>
      </c>
      <c r="G578" s="12">
        <f t="shared" ref="G578:H578" si="329">SUM(G579:G580)</f>
        <v>0</v>
      </c>
      <c r="H578" s="12">
        <f t="shared" si="329"/>
        <v>0</v>
      </c>
    </row>
    <row r="579" spans="1:8" x14ac:dyDescent="0.25">
      <c r="A579" s="19">
        <f t="shared" si="305"/>
        <v>568</v>
      </c>
      <c r="B579" s="10" t="s">
        <v>137</v>
      </c>
      <c r="C579" s="11" t="s">
        <v>487</v>
      </c>
      <c r="D579" s="11" t="s">
        <v>509</v>
      </c>
      <c r="E579" s="11" t="s">
        <v>138</v>
      </c>
      <c r="F579" s="12">
        <f>449.9-15.87</f>
        <v>434.03</v>
      </c>
      <c r="G579" s="12">
        <v>0</v>
      </c>
      <c r="H579" s="12">
        <v>0</v>
      </c>
    </row>
    <row r="580" spans="1:8" x14ac:dyDescent="0.25">
      <c r="A580" s="19">
        <f t="shared" si="305"/>
        <v>569</v>
      </c>
      <c r="B580" s="10" t="s">
        <v>143</v>
      </c>
      <c r="C580" s="11" t="s">
        <v>487</v>
      </c>
      <c r="D580" s="11" t="s">
        <v>509</v>
      </c>
      <c r="E580" s="11" t="s">
        <v>144</v>
      </c>
      <c r="F580" s="12">
        <f>431.6+15.87</f>
        <v>447.47</v>
      </c>
      <c r="G580" s="12">
        <v>0</v>
      </c>
      <c r="H580" s="12">
        <v>0</v>
      </c>
    </row>
    <row r="581" spans="1:8" ht="108" x14ac:dyDescent="0.25">
      <c r="A581" s="19">
        <f t="shared" si="305"/>
        <v>570</v>
      </c>
      <c r="B581" s="10" t="s">
        <v>510</v>
      </c>
      <c r="C581" s="11" t="s">
        <v>487</v>
      </c>
      <c r="D581" s="11" t="s">
        <v>511</v>
      </c>
      <c r="E581" s="11"/>
      <c r="F581" s="12">
        <f>SUM(F582:F583)</f>
        <v>12000</v>
      </c>
      <c r="G581" s="12">
        <f t="shared" ref="G581:H581" si="330">SUM(G582:G583)</f>
        <v>0</v>
      </c>
      <c r="H581" s="12">
        <f t="shared" si="330"/>
        <v>0</v>
      </c>
    </row>
    <row r="582" spans="1:8" x14ac:dyDescent="0.25">
      <c r="A582" s="19">
        <f t="shared" ref="A582:A632" si="331">SUM(A581+1)</f>
        <v>571</v>
      </c>
      <c r="B582" s="10" t="s">
        <v>137</v>
      </c>
      <c r="C582" s="11" t="s">
        <v>487</v>
      </c>
      <c r="D582" s="11" t="s">
        <v>511</v>
      </c>
      <c r="E582" s="11" t="s">
        <v>138</v>
      </c>
      <c r="F582" s="12">
        <v>8000</v>
      </c>
      <c r="G582" s="12">
        <v>0</v>
      </c>
      <c r="H582" s="12">
        <v>0</v>
      </c>
    </row>
    <row r="583" spans="1:8" x14ac:dyDescent="0.25">
      <c r="A583" s="19">
        <f t="shared" si="331"/>
        <v>572</v>
      </c>
      <c r="B583" s="10" t="s">
        <v>143</v>
      </c>
      <c r="C583" s="11" t="s">
        <v>487</v>
      </c>
      <c r="D583" s="11" t="s">
        <v>511</v>
      </c>
      <c r="E583" s="11" t="s">
        <v>144</v>
      </c>
      <c r="F583" s="12">
        <v>4000</v>
      </c>
      <c r="G583" s="12">
        <v>0</v>
      </c>
      <c r="H583" s="12">
        <v>0</v>
      </c>
    </row>
    <row r="584" spans="1:8" ht="54" x14ac:dyDescent="0.25">
      <c r="A584" s="19">
        <f t="shared" si="331"/>
        <v>573</v>
      </c>
      <c r="B584" s="10" t="s">
        <v>103</v>
      </c>
      <c r="C584" s="11" t="s">
        <v>487</v>
      </c>
      <c r="D584" s="11" t="s">
        <v>104</v>
      </c>
      <c r="E584" s="11"/>
      <c r="F584" s="12">
        <f>SUM(F585)</f>
        <v>1470</v>
      </c>
      <c r="G584" s="12">
        <f t="shared" ref="G584:H584" si="332">SUM(G585)</f>
        <v>0</v>
      </c>
      <c r="H584" s="12">
        <f t="shared" si="332"/>
        <v>0</v>
      </c>
    </row>
    <row r="585" spans="1:8" ht="54" x14ac:dyDescent="0.25">
      <c r="A585" s="19">
        <f t="shared" si="331"/>
        <v>574</v>
      </c>
      <c r="B585" s="10" t="s">
        <v>105</v>
      </c>
      <c r="C585" s="11" t="s">
        <v>487</v>
      </c>
      <c r="D585" s="11" t="s">
        <v>106</v>
      </c>
      <c r="E585" s="11"/>
      <c r="F585" s="12">
        <f>SUM(F586)</f>
        <v>1470</v>
      </c>
      <c r="G585" s="12">
        <f t="shared" ref="G585:H585" si="333">SUM(G586)</f>
        <v>0</v>
      </c>
      <c r="H585" s="12">
        <f t="shared" si="333"/>
        <v>0</v>
      </c>
    </row>
    <row r="586" spans="1:8" ht="108" x14ac:dyDescent="0.25">
      <c r="A586" s="19">
        <f t="shared" si="331"/>
        <v>575</v>
      </c>
      <c r="B586" s="10" t="s">
        <v>514</v>
      </c>
      <c r="C586" s="11" t="s">
        <v>487</v>
      </c>
      <c r="D586" s="11" t="s">
        <v>515</v>
      </c>
      <c r="E586" s="11"/>
      <c r="F586" s="12">
        <f>SUM(F587)</f>
        <v>1470</v>
      </c>
      <c r="G586" s="12">
        <f t="shared" ref="G586:H586" si="334">SUM(G587)</f>
        <v>0</v>
      </c>
      <c r="H586" s="12">
        <f t="shared" si="334"/>
        <v>0</v>
      </c>
    </row>
    <row r="587" spans="1:8" x14ac:dyDescent="0.25">
      <c r="A587" s="19">
        <f t="shared" si="331"/>
        <v>576</v>
      </c>
      <c r="B587" s="10" t="s">
        <v>137</v>
      </c>
      <c r="C587" s="11" t="s">
        <v>487</v>
      </c>
      <c r="D587" s="11" t="s">
        <v>515</v>
      </c>
      <c r="E587" s="11" t="s">
        <v>138</v>
      </c>
      <c r="F587" s="12">
        <v>1470</v>
      </c>
      <c r="G587" s="12">
        <v>0</v>
      </c>
      <c r="H587" s="12">
        <v>0</v>
      </c>
    </row>
    <row r="588" spans="1:8" ht="90" x14ac:dyDescent="0.25">
      <c r="A588" s="19">
        <f t="shared" si="331"/>
        <v>577</v>
      </c>
      <c r="B588" s="10" t="s">
        <v>176</v>
      </c>
      <c r="C588" s="11" t="s">
        <v>487</v>
      </c>
      <c r="D588" s="11" t="s">
        <v>177</v>
      </c>
      <c r="E588" s="11"/>
      <c r="F588" s="12">
        <f>SUM(F589)</f>
        <v>55</v>
      </c>
      <c r="G588" s="12">
        <f t="shared" ref="G588:H588" si="335">SUM(G589)</f>
        <v>65</v>
      </c>
      <c r="H588" s="12">
        <f t="shared" si="335"/>
        <v>65</v>
      </c>
    </row>
    <row r="589" spans="1:8" ht="36" x14ac:dyDescent="0.25">
      <c r="A589" s="19">
        <f t="shared" ref="A589:A647" si="336">SUM(A588+1)</f>
        <v>578</v>
      </c>
      <c r="B589" s="10" t="s">
        <v>516</v>
      </c>
      <c r="C589" s="11" t="s">
        <v>487</v>
      </c>
      <c r="D589" s="11" t="s">
        <v>517</v>
      </c>
      <c r="E589" s="11"/>
      <c r="F589" s="12">
        <f>SUM(F590:F591)</f>
        <v>55</v>
      </c>
      <c r="G589" s="12">
        <f t="shared" ref="G589:H589" si="337">SUM(G590:G591)</f>
        <v>65</v>
      </c>
      <c r="H589" s="12">
        <f t="shared" si="337"/>
        <v>65</v>
      </c>
    </row>
    <row r="590" spans="1:8" x14ac:dyDescent="0.25">
      <c r="A590" s="19">
        <f t="shared" si="336"/>
        <v>579</v>
      </c>
      <c r="B590" s="10" t="s">
        <v>137</v>
      </c>
      <c r="C590" s="11" t="s">
        <v>487</v>
      </c>
      <c r="D590" s="11" t="s">
        <v>517</v>
      </c>
      <c r="E590" s="11" t="s">
        <v>138</v>
      </c>
      <c r="F590" s="12">
        <v>55</v>
      </c>
      <c r="G590" s="12">
        <v>55</v>
      </c>
      <c r="H590" s="12">
        <v>55</v>
      </c>
    </row>
    <row r="591" spans="1:8" x14ac:dyDescent="0.25">
      <c r="A591" s="19">
        <f t="shared" si="336"/>
        <v>580</v>
      </c>
      <c r="B591" s="10" t="s">
        <v>143</v>
      </c>
      <c r="C591" s="11" t="s">
        <v>487</v>
      </c>
      <c r="D591" s="11" t="s">
        <v>517</v>
      </c>
      <c r="E591" s="11" t="s">
        <v>144</v>
      </c>
      <c r="F591" s="12">
        <f>10-10</f>
        <v>0</v>
      </c>
      <c r="G591" s="12">
        <v>10</v>
      </c>
      <c r="H591" s="12">
        <v>10</v>
      </c>
    </row>
    <row r="592" spans="1:8" x14ac:dyDescent="0.25">
      <c r="A592" s="18">
        <f t="shared" si="336"/>
        <v>581</v>
      </c>
      <c r="B592" s="14" t="s">
        <v>518</v>
      </c>
      <c r="C592" s="15" t="s">
        <v>519</v>
      </c>
      <c r="D592" s="15"/>
      <c r="E592" s="15"/>
      <c r="F592" s="16">
        <f>SUM(F593+F607+F617+F621)</f>
        <v>118950.48999999999</v>
      </c>
      <c r="G592" s="16">
        <f t="shared" ref="G592:H592" si="338">SUM(G593+G607+G617+G621)</f>
        <v>123651.87000000001</v>
      </c>
      <c r="H592" s="16">
        <f t="shared" si="338"/>
        <v>128498.82</v>
      </c>
    </row>
    <row r="593" spans="1:8" ht="54" x14ac:dyDescent="0.25">
      <c r="A593" s="19">
        <f t="shared" si="336"/>
        <v>582</v>
      </c>
      <c r="B593" s="10" t="s">
        <v>469</v>
      </c>
      <c r="C593" s="11" t="s">
        <v>519</v>
      </c>
      <c r="D593" s="11" t="s">
        <v>470</v>
      </c>
      <c r="E593" s="11"/>
      <c r="F593" s="12">
        <f>SUM(F594+F604)</f>
        <v>49254.54</v>
      </c>
      <c r="G593" s="12">
        <f t="shared" ref="G593:H593" si="339">SUM(G594+G604)</f>
        <v>51774.2</v>
      </c>
      <c r="H593" s="12">
        <f t="shared" si="339"/>
        <v>53627.02</v>
      </c>
    </row>
    <row r="594" spans="1:8" ht="72" x14ac:dyDescent="0.25">
      <c r="A594" s="19">
        <f t="shared" si="336"/>
        <v>583</v>
      </c>
      <c r="B594" s="10" t="s">
        <v>512</v>
      </c>
      <c r="C594" s="11" t="s">
        <v>519</v>
      </c>
      <c r="D594" s="11" t="s">
        <v>513</v>
      </c>
      <c r="E594" s="11"/>
      <c r="F594" s="12">
        <f>SUM(F595+F598+F600)</f>
        <v>48989.54</v>
      </c>
      <c r="G594" s="12">
        <f t="shared" ref="G594:H594" si="340">SUM(G595+G598+G600)</f>
        <v>51774.2</v>
      </c>
      <c r="H594" s="12">
        <f t="shared" si="340"/>
        <v>53627.02</v>
      </c>
    </row>
    <row r="595" spans="1:8" ht="72" x14ac:dyDescent="0.25">
      <c r="A595" s="19">
        <f t="shared" si="336"/>
        <v>584</v>
      </c>
      <c r="B595" s="10" t="s">
        <v>520</v>
      </c>
      <c r="C595" s="11" t="s">
        <v>519</v>
      </c>
      <c r="D595" s="11" t="s">
        <v>521</v>
      </c>
      <c r="E595" s="11"/>
      <c r="F595" s="12">
        <f>SUM(F596:F597)</f>
        <v>42948.33</v>
      </c>
      <c r="G595" s="12">
        <f t="shared" ref="G595:H595" si="341">SUM(G596:G597)</f>
        <v>47540.93</v>
      </c>
      <c r="H595" s="12">
        <f t="shared" si="341"/>
        <v>49337.5</v>
      </c>
    </row>
    <row r="596" spans="1:8" x14ac:dyDescent="0.25">
      <c r="A596" s="19">
        <f t="shared" si="336"/>
        <v>585</v>
      </c>
      <c r="B596" s="10" t="s">
        <v>137</v>
      </c>
      <c r="C596" s="11" t="s">
        <v>519</v>
      </c>
      <c r="D596" s="11" t="s">
        <v>521</v>
      </c>
      <c r="E596" s="11" t="s">
        <v>138</v>
      </c>
      <c r="F596" s="12">
        <v>13570.39</v>
      </c>
      <c r="G596" s="12">
        <v>14981.22</v>
      </c>
      <c r="H596" s="12">
        <v>15562.62</v>
      </c>
    </row>
    <row r="597" spans="1:8" x14ac:dyDescent="0.25">
      <c r="A597" s="19">
        <f t="shared" si="336"/>
        <v>586</v>
      </c>
      <c r="B597" s="10" t="s">
        <v>143</v>
      </c>
      <c r="C597" s="11" t="s">
        <v>519</v>
      </c>
      <c r="D597" s="11" t="s">
        <v>521</v>
      </c>
      <c r="E597" s="11" t="s">
        <v>144</v>
      </c>
      <c r="F597" s="12">
        <v>29377.94</v>
      </c>
      <c r="G597" s="12">
        <v>32559.71</v>
      </c>
      <c r="H597" s="12">
        <v>33774.879999999997</v>
      </c>
    </row>
    <row r="598" spans="1:8" ht="126" x14ac:dyDescent="0.25">
      <c r="A598" s="19">
        <f t="shared" si="336"/>
        <v>587</v>
      </c>
      <c r="B598" s="10" t="s">
        <v>755</v>
      </c>
      <c r="C598" s="11" t="s">
        <v>519</v>
      </c>
      <c r="D598" s="11" t="s">
        <v>756</v>
      </c>
      <c r="E598" s="11"/>
      <c r="F598" s="12">
        <f>SUM(F599)</f>
        <v>835.71</v>
      </c>
      <c r="G598" s="12">
        <f t="shared" ref="G598:H598" si="342">SUM(G599)</f>
        <v>0</v>
      </c>
      <c r="H598" s="12">
        <f t="shared" si="342"/>
        <v>0</v>
      </c>
    </row>
    <row r="599" spans="1:8" x14ac:dyDescent="0.25">
      <c r="A599" s="19">
        <f t="shared" si="336"/>
        <v>588</v>
      </c>
      <c r="B599" s="10" t="s">
        <v>137</v>
      </c>
      <c r="C599" s="11" t="s">
        <v>519</v>
      </c>
      <c r="D599" s="11" t="s">
        <v>756</v>
      </c>
      <c r="E599" s="11" t="s">
        <v>138</v>
      </c>
      <c r="F599" s="12">
        <v>835.71</v>
      </c>
      <c r="G599" s="12">
        <v>0</v>
      </c>
      <c r="H599" s="12">
        <v>0</v>
      </c>
    </row>
    <row r="600" spans="1:8" ht="54" x14ac:dyDescent="0.25">
      <c r="A600" s="19">
        <f t="shared" si="336"/>
        <v>589</v>
      </c>
      <c r="B600" s="10" t="s">
        <v>522</v>
      </c>
      <c r="C600" s="11" t="s">
        <v>519</v>
      </c>
      <c r="D600" s="11" t="s">
        <v>523</v>
      </c>
      <c r="E600" s="11"/>
      <c r="F600" s="12">
        <f>SUM(F601:F603)</f>
        <v>5205.5</v>
      </c>
      <c r="G600" s="12">
        <f t="shared" ref="G600:H600" si="343">SUM(G601:G603)</f>
        <v>4233.2699999999995</v>
      </c>
      <c r="H600" s="12">
        <f t="shared" si="343"/>
        <v>4289.5199999999995</v>
      </c>
    </row>
    <row r="601" spans="1:8" x14ac:dyDescent="0.25">
      <c r="A601" s="19">
        <f t="shared" si="336"/>
        <v>590</v>
      </c>
      <c r="B601" s="10" t="s">
        <v>137</v>
      </c>
      <c r="C601" s="11" t="s">
        <v>519</v>
      </c>
      <c r="D601" s="11" t="s">
        <v>523</v>
      </c>
      <c r="E601" s="11" t="s">
        <v>138</v>
      </c>
      <c r="F601" s="12">
        <v>1146.6400000000001</v>
      </c>
      <c r="G601" s="12">
        <v>746.62</v>
      </c>
      <c r="H601" s="12">
        <v>773.06</v>
      </c>
    </row>
    <row r="602" spans="1:8" x14ac:dyDescent="0.25">
      <c r="A602" s="19">
        <f t="shared" si="336"/>
        <v>591</v>
      </c>
      <c r="B602" s="10" t="s">
        <v>143</v>
      </c>
      <c r="C602" s="11" t="s">
        <v>519</v>
      </c>
      <c r="D602" s="11" t="s">
        <v>523</v>
      </c>
      <c r="E602" s="11" t="s">
        <v>144</v>
      </c>
      <c r="F602" s="12">
        <f>2737.93-1358.47</f>
        <v>1379.4599999999998</v>
      </c>
      <c r="G602" s="12">
        <v>2112.56</v>
      </c>
      <c r="H602" s="12">
        <v>2142.37</v>
      </c>
    </row>
    <row r="603" spans="1:8" ht="90" x14ac:dyDescent="0.25">
      <c r="A603" s="19">
        <f t="shared" si="336"/>
        <v>592</v>
      </c>
      <c r="B603" s="10" t="s">
        <v>149</v>
      </c>
      <c r="C603" s="11" t="s">
        <v>519</v>
      </c>
      <c r="D603" s="11" t="s">
        <v>523</v>
      </c>
      <c r="E603" s="11">
        <v>630</v>
      </c>
      <c r="F603" s="12">
        <f>1320.93+1358.47</f>
        <v>2679.4</v>
      </c>
      <c r="G603" s="12">
        <v>1374.09</v>
      </c>
      <c r="H603" s="12">
        <v>1374.09</v>
      </c>
    </row>
    <row r="604" spans="1:8" ht="90" x14ac:dyDescent="0.25">
      <c r="A604" s="19">
        <f t="shared" si="331"/>
        <v>593</v>
      </c>
      <c r="B604" s="10" t="s">
        <v>579</v>
      </c>
      <c r="C604" s="11" t="s">
        <v>519</v>
      </c>
      <c r="D604" s="11" t="s">
        <v>580</v>
      </c>
      <c r="E604" s="11"/>
      <c r="F604" s="12">
        <f>SUM(F605)</f>
        <v>265</v>
      </c>
      <c r="G604" s="12">
        <f t="shared" ref="G604:H604" si="344">SUM(G605)</f>
        <v>0</v>
      </c>
      <c r="H604" s="12">
        <f t="shared" si="344"/>
        <v>0</v>
      </c>
    </row>
    <row r="605" spans="1:8" ht="54" x14ac:dyDescent="0.25">
      <c r="A605" s="19">
        <f t="shared" si="331"/>
        <v>594</v>
      </c>
      <c r="B605" s="10" t="s">
        <v>757</v>
      </c>
      <c r="C605" s="11" t="s">
        <v>519</v>
      </c>
      <c r="D605" s="11" t="s">
        <v>758</v>
      </c>
      <c r="E605" s="11"/>
      <c r="F605" s="12">
        <f>SUM(F606)</f>
        <v>265</v>
      </c>
      <c r="G605" s="12">
        <f t="shared" ref="G605:H605" si="345">SUM(G606)</f>
        <v>0</v>
      </c>
      <c r="H605" s="12">
        <f t="shared" si="345"/>
        <v>0</v>
      </c>
    </row>
    <row r="606" spans="1:8" x14ac:dyDescent="0.25">
      <c r="A606" s="19">
        <f t="shared" si="331"/>
        <v>595</v>
      </c>
      <c r="B606" s="10" t="s">
        <v>137</v>
      </c>
      <c r="C606" s="11" t="s">
        <v>519</v>
      </c>
      <c r="D606" s="11" t="s">
        <v>758</v>
      </c>
      <c r="E606" s="11" t="s">
        <v>138</v>
      </c>
      <c r="F606" s="12">
        <f>300-35</f>
        <v>265</v>
      </c>
      <c r="G606" s="12">
        <v>0</v>
      </c>
      <c r="H606" s="12">
        <v>0</v>
      </c>
    </row>
    <row r="607" spans="1:8" ht="54" x14ac:dyDescent="0.25">
      <c r="A607" s="19">
        <f t="shared" si="331"/>
        <v>596</v>
      </c>
      <c r="B607" s="10" t="s">
        <v>288</v>
      </c>
      <c r="C607" s="11" t="s">
        <v>519</v>
      </c>
      <c r="D607" s="11" t="s">
        <v>289</v>
      </c>
      <c r="E607" s="11"/>
      <c r="F607" s="12">
        <f>SUM(F608)</f>
        <v>68950.949999999983</v>
      </c>
      <c r="G607" s="12">
        <f t="shared" ref="G607:H607" si="346">SUM(G608)</f>
        <v>71877.670000000013</v>
      </c>
      <c r="H607" s="12">
        <f t="shared" si="346"/>
        <v>74871.8</v>
      </c>
    </row>
    <row r="608" spans="1:8" ht="54" x14ac:dyDescent="0.25">
      <c r="A608" s="19">
        <f t="shared" si="331"/>
        <v>597</v>
      </c>
      <c r="B608" s="10" t="s">
        <v>524</v>
      </c>
      <c r="C608" s="11" t="s">
        <v>519</v>
      </c>
      <c r="D608" s="11" t="s">
        <v>525</v>
      </c>
      <c r="E608" s="11"/>
      <c r="F608" s="12">
        <f>SUM(F609+F611+F613+F615)</f>
        <v>68950.949999999983</v>
      </c>
      <c r="G608" s="12">
        <f t="shared" ref="G608:H608" si="347">SUM(G609+G611+G613+G615)</f>
        <v>71877.670000000013</v>
      </c>
      <c r="H608" s="12">
        <f t="shared" si="347"/>
        <v>74871.8</v>
      </c>
    </row>
    <row r="609" spans="1:8" ht="180" x14ac:dyDescent="0.25">
      <c r="A609" s="19">
        <f t="shared" si="331"/>
        <v>598</v>
      </c>
      <c r="B609" s="10" t="s">
        <v>526</v>
      </c>
      <c r="C609" s="11" t="s">
        <v>519</v>
      </c>
      <c r="D609" s="11" t="s">
        <v>527</v>
      </c>
      <c r="E609" s="11"/>
      <c r="F609" s="12">
        <f>SUM(F610)</f>
        <v>2349.9</v>
      </c>
      <c r="G609" s="12">
        <f t="shared" ref="G609:H609" si="348">SUM(G610)</f>
        <v>0</v>
      </c>
      <c r="H609" s="12">
        <f t="shared" si="348"/>
        <v>0</v>
      </c>
    </row>
    <row r="610" spans="1:8" x14ac:dyDescent="0.25">
      <c r="A610" s="19">
        <f t="shared" si="331"/>
        <v>599</v>
      </c>
      <c r="B610" s="10" t="s">
        <v>137</v>
      </c>
      <c r="C610" s="11" t="s">
        <v>519</v>
      </c>
      <c r="D610" s="11" t="s">
        <v>527</v>
      </c>
      <c r="E610" s="11" t="s">
        <v>138</v>
      </c>
      <c r="F610" s="12">
        <v>2349.9</v>
      </c>
      <c r="G610" s="12">
        <v>0</v>
      </c>
      <c r="H610" s="12">
        <v>0</v>
      </c>
    </row>
    <row r="611" spans="1:8" ht="72" x14ac:dyDescent="0.25">
      <c r="A611" s="19">
        <f t="shared" si="336"/>
        <v>600</v>
      </c>
      <c r="B611" s="10" t="s">
        <v>528</v>
      </c>
      <c r="C611" s="11" t="s">
        <v>519</v>
      </c>
      <c r="D611" s="11" t="s">
        <v>529</v>
      </c>
      <c r="E611" s="11"/>
      <c r="F611" s="12">
        <f>SUM(F612)</f>
        <v>66426.149999999994</v>
      </c>
      <c r="G611" s="12">
        <f t="shared" ref="G611:H611" si="349">SUM(G612)</f>
        <v>71427.350000000006</v>
      </c>
      <c r="H611" s="12">
        <f t="shared" si="349"/>
        <v>74429.600000000006</v>
      </c>
    </row>
    <row r="612" spans="1:8" x14ac:dyDescent="0.25">
      <c r="A612" s="19">
        <f t="shared" si="336"/>
        <v>601</v>
      </c>
      <c r="B612" s="10" t="s">
        <v>137</v>
      </c>
      <c r="C612" s="11" t="s">
        <v>519</v>
      </c>
      <c r="D612" s="11" t="s">
        <v>529</v>
      </c>
      <c r="E612" s="11" t="s">
        <v>138</v>
      </c>
      <c r="F612" s="12">
        <v>66426.149999999994</v>
      </c>
      <c r="G612" s="12">
        <v>71427.350000000006</v>
      </c>
      <c r="H612" s="12">
        <v>74429.600000000006</v>
      </c>
    </row>
    <row r="613" spans="1:8" ht="126" x14ac:dyDescent="0.25">
      <c r="A613" s="19">
        <f t="shared" si="336"/>
        <v>602</v>
      </c>
      <c r="B613" s="10" t="s">
        <v>530</v>
      </c>
      <c r="C613" s="11" t="s">
        <v>519</v>
      </c>
      <c r="D613" s="11" t="s">
        <v>531</v>
      </c>
      <c r="E613" s="11"/>
      <c r="F613" s="12">
        <f>SUM(F614)</f>
        <v>0</v>
      </c>
      <c r="G613" s="12">
        <f t="shared" ref="G613:H613" si="350">SUM(G614)</f>
        <v>450.32</v>
      </c>
      <c r="H613" s="12">
        <f t="shared" si="350"/>
        <v>442.2</v>
      </c>
    </row>
    <row r="614" spans="1:8" x14ac:dyDescent="0.25">
      <c r="A614" s="19">
        <f t="shared" si="336"/>
        <v>603</v>
      </c>
      <c r="B614" s="10" t="s">
        <v>137</v>
      </c>
      <c r="C614" s="11" t="s">
        <v>519</v>
      </c>
      <c r="D614" s="11" t="s">
        <v>531</v>
      </c>
      <c r="E614" s="11" t="s">
        <v>138</v>
      </c>
      <c r="F614" s="12">
        <v>0</v>
      </c>
      <c r="G614" s="12">
        <v>450.32</v>
      </c>
      <c r="H614" s="12">
        <v>442.2</v>
      </c>
    </row>
    <row r="615" spans="1:8" ht="144" x14ac:dyDescent="0.25">
      <c r="A615" s="19">
        <f t="shared" si="336"/>
        <v>604</v>
      </c>
      <c r="B615" s="10" t="s">
        <v>532</v>
      </c>
      <c r="C615" s="11" t="s">
        <v>519</v>
      </c>
      <c r="D615" s="11" t="s">
        <v>533</v>
      </c>
      <c r="E615" s="11"/>
      <c r="F615" s="12">
        <f>SUM(F616)</f>
        <v>174.9</v>
      </c>
      <c r="G615" s="12">
        <f t="shared" ref="G615:H615" si="351">SUM(G616)</f>
        <v>0</v>
      </c>
      <c r="H615" s="12">
        <f t="shared" si="351"/>
        <v>0</v>
      </c>
    </row>
    <row r="616" spans="1:8" x14ac:dyDescent="0.25">
      <c r="A616" s="19">
        <f t="shared" si="336"/>
        <v>605</v>
      </c>
      <c r="B616" s="10" t="s">
        <v>137</v>
      </c>
      <c r="C616" s="11" t="s">
        <v>519</v>
      </c>
      <c r="D616" s="11" t="s">
        <v>533</v>
      </c>
      <c r="E616" s="11" t="s">
        <v>138</v>
      </c>
      <c r="F616" s="12">
        <v>174.9</v>
      </c>
      <c r="G616" s="12">
        <v>0</v>
      </c>
      <c r="H616" s="12">
        <v>0</v>
      </c>
    </row>
    <row r="617" spans="1:8" ht="54" x14ac:dyDescent="0.25">
      <c r="A617" s="19">
        <f t="shared" si="336"/>
        <v>606</v>
      </c>
      <c r="B617" s="10" t="s">
        <v>103</v>
      </c>
      <c r="C617" s="11" t="s">
        <v>519</v>
      </c>
      <c r="D617" s="11" t="s">
        <v>104</v>
      </c>
      <c r="E617" s="11"/>
      <c r="F617" s="12">
        <f>SUM(F618)</f>
        <v>735</v>
      </c>
      <c r="G617" s="12">
        <f t="shared" ref="G617:H617" si="352">SUM(G618)</f>
        <v>0</v>
      </c>
      <c r="H617" s="12">
        <f t="shared" si="352"/>
        <v>0</v>
      </c>
    </row>
    <row r="618" spans="1:8" ht="54" x14ac:dyDescent="0.25">
      <c r="A618" s="19">
        <f t="shared" si="336"/>
        <v>607</v>
      </c>
      <c r="B618" s="10" t="s">
        <v>105</v>
      </c>
      <c r="C618" s="11" t="s">
        <v>519</v>
      </c>
      <c r="D618" s="11" t="s">
        <v>106</v>
      </c>
      <c r="E618" s="11"/>
      <c r="F618" s="12">
        <f>SUM(F619)</f>
        <v>735</v>
      </c>
      <c r="G618" s="12">
        <f t="shared" ref="G618:H618" si="353">SUM(G619)</f>
        <v>0</v>
      </c>
      <c r="H618" s="12">
        <f t="shared" si="353"/>
        <v>0</v>
      </c>
    </row>
    <row r="619" spans="1:8" ht="108" x14ac:dyDescent="0.25">
      <c r="A619" s="19">
        <f t="shared" si="336"/>
        <v>608</v>
      </c>
      <c r="B619" s="10" t="s">
        <v>514</v>
      </c>
      <c r="C619" s="11" t="s">
        <v>519</v>
      </c>
      <c r="D619" s="11" t="s">
        <v>515</v>
      </c>
      <c r="E619" s="11"/>
      <c r="F619" s="12">
        <f>SUM(F620)</f>
        <v>735</v>
      </c>
      <c r="G619" s="12">
        <f t="shared" ref="G619:H619" si="354">SUM(G620)</f>
        <v>0</v>
      </c>
      <c r="H619" s="12">
        <f t="shared" si="354"/>
        <v>0</v>
      </c>
    </row>
    <row r="620" spans="1:8" x14ac:dyDescent="0.25">
      <c r="A620" s="19">
        <f t="shared" si="336"/>
        <v>609</v>
      </c>
      <c r="B620" s="10" t="s">
        <v>137</v>
      </c>
      <c r="C620" s="11" t="s">
        <v>519</v>
      </c>
      <c r="D620" s="11" t="s">
        <v>515</v>
      </c>
      <c r="E620" s="11" t="s">
        <v>138</v>
      </c>
      <c r="F620" s="12">
        <v>735</v>
      </c>
      <c r="G620" s="12">
        <v>0</v>
      </c>
      <c r="H620" s="12">
        <v>0</v>
      </c>
    </row>
    <row r="621" spans="1:8" ht="90" x14ac:dyDescent="0.25">
      <c r="A621" s="19">
        <f t="shared" si="336"/>
        <v>610</v>
      </c>
      <c r="B621" s="10" t="s">
        <v>176</v>
      </c>
      <c r="C621" s="11" t="s">
        <v>519</v>
      </c>
      <c r="D621" s="24" t="s">
        <v>177</v>
      </c>
      <c r="E621" s="11"/>
      <c r="F621" s="12">
        <f>SUM(F622)</f>
        <v>10</v>
      </c>
      <c r="G621" s="12">
        <f t="shared" ref="G621:H621" si="355">SUM(G622)</f>
        <v>0</v>
      </c>
      <c r="H621" s="12">
        <f t="shared" si="355"/>
        <v>0</v>
      </c>
    </row>
    <row r="622" spans="1:8" ht="54" x14ac:dyDescent="0.25">
      <c r="A622" s="19">
        <f t="shared" si="336"/>
        <v>611</v>
      </c>
      <c r="B622" s="10" t="s">
        <v>569</v>
      </c>
      <c r="C622" s="11" t="s">
        <v>519</v>
      </c>
      <c r="D622" s="24" t="s">
        <v>804</v>
      </c>
      <c r="E622" s="11"/>
      <c r="F622" s="12">
        <f>SUM(F623)</f>
        <v>10</v>
      </c>
      <c r="G622" s="12">
        <f t="shared" ref="G622:H622" si="356">SUM(G623)</f>
        <v>0</v>
      </c>
      <c r="H622" s="12">
        <f t="shared" si="356"/>
        <v>0</v>
      </c>
    </row>
    <row r="623" spans="1:8" x14ac:dyDescent="0.25">
      <c r="A623" s="19">
        <f t="shared" si="336"/>
        <v>612</v>
      </c>
      <c r="B623" s="10" t="s">
        <v>143</v>
      </c>
      <c r="C623" s="11" t="s">
        <v>519</v>
      </c>
      <c r="D623" s="24" t="s">
        <v>804</v>
      </c>
      <c r="E623" s="11">
        <v>620</v>
      </c>
      <c r="F623" s="12">
        <v>10</v>
      </c>
      <c r="G623" s="12"/>
      <c r="H623" s="12"/>
    </row>
    <row r="624" spans="1:8" x14ac:dyDescent="0.25">
      <c r="A624" s="18">
        <f t="shared" si="336"/>
        <v>613</v>
      </c>
      <c r="B624" s="14" t="s">
        <v>534</v>
      </c>
      <c r="C624" s="15" t="s">
        <v>535</v>
      </c>
      <c r="D624" s="15"/>
      <c r="E624" s="15"/>
      <c r="F624" s="16">
        <f>SUM(F625+F633+F661)</f>
        <v>12418.14</v>
      </c>
      <c r="G624" s="16">
        <f t="shared" ref="G624:H624" si="357">SUM(G625+G633+G661)</f>
        <v>10608.32</v>
      </c>
      <c r="H624" s="16">
        <f t="shared" si="357"/>
        <v>10135.68</v>
      </c>
    </row>
    <row r="625" spans="1:8" ht="54" x14ac:dyDescent="0.25">
      <c r="A625" s="19">
        <f t="shared" si="336"/>
        <v>614</v>
      </c>
      <c r="B625" s="10" t="s">
        <v>103</v>
      </c>
      <c r="C625" s="11" t="s">
        <v>535</v>
      </c>
      <c r="D625" s="11" t="s">
        <v>104</v>
      </c>
      <c r="E625" s="11"/>
      <c r="F625" s="12">
        <f>SUM(F626)</f>
        <v>72</v>
      </c>
      <c r="G625" s="12">
        <f t="shared" ref="G625:H625" si="358">SUM(G626)</f>
        <v>72</v>
      </c>
      <c r="H625" s="12">
        <f t="shared" si="358"/>
        <v>72</v>
      </c>
    </row>
    <row r="626" spans="1:8" ht="54" x14ac:dyDescent="0.25">
      <c r="A626" s="19">
        <f t="shared" si="331"/>
        <v>615</v>
      </c>
      <c r="B626" s="10" t="s">
        <v>536</v>
      </c>
      <c r="C626" s="11" t="s">
        <v>535</v>
      </c>
      <c r="D626" s="11" t="s">
        <v>537</v>
      </c>
      <c r="E626" s="11"/>
      <c r="F626" s="12">
        <f>SUM(F627+F629+F631)</f>
        <v>72</v>
      </c>
      <c r="G626" s="12">
        <f t="shared" ref="G626:H626" si="359">SUM(G627+G629+G631)</f>
        <v>72</v>
      </c>
      <c r="H626" s="12">
        <f t="shared" si="359"/>
        <v>72</v>
      </c>
    </row>
    <row r="627" spans="1:8" ht="36" x14ac:dyDescent="0.25">
      <c r="A627" s="19">
        <f t="shared" si="331"/>
        <v>616</v>
      </c>
      <c r="B627" s="10" t="s">
        <v>538</v>
      </c>
      <c r="C627" s="11" t="s">
        <v>535</v>
      </c>
      <c r="D627" s="11" t="s">
        <v>539</v>
      </c>
      <c r="E627" s="11"/>
      <c r="F627" s="12">
        <f>SUM(F628)</f>
        <v>22</v>
      </c>
      <c r="G627" s="12">
        <f t="shared" ref="G627:H627" si="360">SUM(G628)</f>
        <v>22</v>
      </c>
      <c r="H627" s="12">
        <f t="shared" si="360"/>
        <v>22</v>
      </c>
    </row>
    <row r="628" spans="1:8" ht="54" x14ac:dyDescent="0.25">
      <c r="A628" s="19">
        <f t="shared" si="331"/>
        <v>617</v>
      </c>
      <c r="B628" s="10" t="s">
        <v>28</v>
      </c>
      <c r="C628" s="11" t="s">
        <v>535</v>
      </c>
      <c r="D628" s="11" t="s">
        <v>539</v>
      </c>
      <c r="E628" s="11" t="s">
        <v>29</v>
      </c>
      <c r="F628" s="12">
        <v>22</v>
      </c>
      <c r="G628" s="12">
        <v>22</v>
      </c>
      <c r="H628" s="12">
        <v>22</v>
      </c>
    </row>
    <row r="629" spans="1:8" ht="54" x14ac:dyDescent="0.25">
      <c r="A629" s="19">
        <f t="shared" si="331"/>
        <v>618</v>
      </c>
      <c r="B629" s="10" t="s">
        <v>540</v>
      </c>
      <c r="C629" s="11" t="s">
        <v>535</v>
      </c>
      <c r="D629" s="11" t="s">
        <v>541</v>
      </c>
      <c r="E629" s="11"/>
      <c r="F629" s="12">
        <f>SUM(F630)</f>
        <v>15</v>
      </c>
      <c r="G629" s="12">
        <f t="shared" ref="G629:H629" si="361">SUM(G630)</f>
        <v>15</v>
      </c>
      <c r="H629" s="12">
        <f t="shared" si="361"/>
        <v>15</v>
      </c>
    </row>
    <row r="630" spans="1:8" ht="54" x14ac:dyDescent="0.25">
      <c r="A630" s="19">
        <f t="shared" si="331"/>
        <v>619</v>
      </c>
      <c r="B630" s="10" t="s">
        <v>28</v>
      </c>
      <c r="C630" s="11" t="s">
        <v>535</v>
      </c>
      <c r="D630" s="11" t="s">
        <v>541</v>
      </c>
      <c r="E630" s="11" t="s">
        <v>29</v>
      </c>
      <c r="F630" s="12">
        <v>15</v>
      </c>
      <c r="G630" s="12">
        <v>15</v>
      </c>
      <c r="H630" s="12">
        <v>15</v>
      </c>
    </row>
    <row r="631" spans="1:8" ht="36" x14ac:dyDescent="0.25">
      <c r="A631" s="19">
        <f t="shared" si="331"/>
        <v>620</v>
      </c>
      <c r="B631" s="10" t="s">
        <v>542</v>
      </c>
      <c r="C631" s="11" t="s">
        <v>535</v>
      </c>
      <c r="D631" s="11" t="s">
        <v>543</v>
      </c>
      <c r="E631" s="11"/>
      <c r="F631" s="12">
        <f>SUM(F632)</f>
        <v>35</v>
      </c>
      <c r="G631" s="12">
        <f t="shared" ref="G631:H631" si="362">SUM(G632)</f>
        <v>35</v>
      </c>
      <c r="H631" s="12">
        <f t="shared" si="362"/>
        <v>35</v>
      </c>
    </row>
    <row r="632" spans="1:8" ht="54" x14ac:dyDescent="0.25">
      <c r="A632" s="19">
        <f t="shared" si="331"/>
        <v>621</v>
      </c>
      <c r="B632" s="10" t="s">
        <v>28</v>
      </c>
      <c r="C632" s="11" t="s">
        <v>535</v>
      </c>
      <c r="D632" s="11" t="s">
        <v>543</v>
      </c>
      <c r="E632" s="11" t="s">
        <v>29</v>
      </c>
      <c r="F632" s="12">
        <v>35</v>
      </c>
      <c r="G632" s="12">
        <v>35</v>
      </c>
      <c r="H632" s="12">
        <v>35</v>
      </c>
    </row>
    <row r="633" spans="1:8" ht="72" x14ac:dyDescent="0.25">
      <c r="A633" s="19">
        <f t="shared" si="336"/>
        <v>622</v>
      </c>
      <c r="B633" s="10" t="s">
        <v>544</v>
      </c>
      <c r="C633" s="11" t="s">
        <v>535</v>
      </c>
      <c r="D633" s="11" t="s">
        <v>545</v>
      </c>
      <c r="E633" s="11"/>
      <c r="F633" s="12">
        <f>SUM(F634+F651)</f>
        <v>12256.14</v>
      </c>
      <c r="G633" s="12">
        <f t="shared" ref="G633:H633" si="363">SUM(G634+G651)</f>
        <v>10446.32</v>
      </c>
      <c r="H633" s="12">
        <f t="shared" si="363"/>
        <v>9973.68</v>
      </c>
    </row>
    <row r="634" spans="1:8" ht="36" x14ac:dyDescent="0.25">
      <c r="A634" s="19">
        <f t="shared" si="336"/>
        <v>623</v>
      </c>
      <c r="B634" s="10" t="s">
        <v>546</v>
      </c>
      <c r="C634" s="11" t="s">
        <v>535</v>
      </c>
      <c r="D634" s="11" t="s">
        <v>547</v>
      </c>
      <c r="E634" s="11"/>
      <c r="F634" s="12">
        <f>SUM(F635+F637+F639+F643+F645+F647+F649)</f>
        <v>10865.2</v>
      </c>
      <c r="G634" s="12">
        <f t="shared" ref="G634:H634" si="364">SUM(G635+G637+G639+G643+G645+G647+G649)</f>
        <v>9092.6299999999992</v>
      </c>
      <c r="H634" s="12">
        <f t="shared" si="364"/>
        <v>8583.15</v>
      </c>
    </row>
    <row r="635" spans="1:8" ht="54" x14ac:dyDescent="0.25">
      <c r="A635" s="19">
        <f t="shared" si="336"/>
        <v>624</v>
      </c>
      <c r="B635" s="10" t="s">
        <v>548</v>
      </c>
      <c r="C635" s="11" t="s">
        <v>535</v>
      </c>
      <c r="D635" s="11" t="s">
        <v>549</v>
      </c>
      <c r="E635" s="11"/>
      <c r="F635" s="12">
        <f>SUM(F636)</f>
        <v>381.3</v>
      </c>
      <c r="G635" s="12">
        <f t="shared" ref="G635:H635" si="365">SUM(G636)</f>
        <v>381.3</v>
      </c>
      <c r="H635" s="12">
        <f t="shared" si="365"/>
        <v>381.3</v>
      </c>
    </row>
    <row r="636" spans="1:8" ht="54" x14ac:dyDescent="0.25">
      <c r="A636" s="19">
        <f t="shared" si="336"/>
        <v>625</v>
      </c>
      <c r="B636" s="10" t="s">
        <v>28</v>
      </c>
      <c r="C636" s="11" t="s">
        <v>535</v>
      </c>
      <c r="D636" s="11" t="s">
        <v>549</v>
      </c>
      <c r="E636" s="11" t="s">
        <v>29</v>
      </c>
      <c r="F636" s="12">
        <v>381.3</v>
      </c>
      <c r="G636" s="12">
        <v>381.3</v>
      </c>
      <c r="H636" s="12">
        <v>381.3</v>
      </c>
    </row>
    <row r="637" spans="1:8" ht="36" x14ac:dyDescent="0.25">
      <c r="A637" s="19">
        <f t="shared" si="336"/>
        <v>626</v>
      </c>
      <c r="B637" s="10" t="s">
        <v>550</v>
      </c>
      <c r="C637" s="11" t="s">
        <v>535</v>
      </c>
      <c r="D637" s="11" t="s">
        <v>551</v>
      </c>
      <c r="E637" s="11"/>
      <c r="F637" s="12">
        <f>SUM(F638)</f>
        <v>309.27999999999997</v>
      </c>
      <c r="G637" s="12">
        <f t="shared" ref="G637:H637" si="366">SUM(G638)</f>
        <v>100</v>
      </c>
      <c r="H637" s="12">
        <f t="shared" si="366"/>
        <v>500</v>
      </c>
    </row>
    <row r="638" spans="1:8" ht="54" x14ac:dyDescent="0.25">
      <c r="A638" s="19">
        <f t="shared" si="336"/>
        <v>627</v>
      </c>
      <c r="B638" s="10" t="s">
        <v>28</v>
      </c>
      <c r="C638" s="11" t="s">
        <v>535</v>
      </c>
      <c r="D638" s="11" t="s">
        <v>551</v>
      </c>
      <c r="E638" s="11" t="s">
        <v>29</v>
      </c>
      <c r="F638" s="12">
        <f>500-190.72</f>
        <v>309.27999999999997</v>
      </c>
      <c r="G638" s="12">
        <f>500-400</f>
        <v>100</v>
      </c>
      <c r="H638" s="12">
        <v>500</v>
      </c>
    </row>
    <row r="639" spans="1:8" ht="54" x14ac:dyDescent="0.25">
      <c r="A639" s="19">
        <f t="shared" si="336"/>
        <v>628</v>
      </c>
      <c r="B639" s="10" t="s">
        <v>552</v>
      </c>
      <c r="C639" s="11" t="s">
        <v>535</v>
      </c>
      <c r="D639" s="11" t="s">
        <v>553</v>
      </c>
      <c r="E639" s="11"/>
      <c r="F639" s="12">
        <f>SUM(F640:F642)</f>
        <v>7424.92</v>
      </c>
      <c r="G639" s="12">
        <f t="shared" ref="G639:H639" si="367">SUM(G640:G642)</f>
        <v>7461.329999999999</v>
      </c>
      <c r="H639" s="12">
        <f t="shared" si="367"/>
        <v>7701.8499999999995</v>
      </c>
    </row>
    <row r="640" spans="1:8" ht="36" x14ac:dyDescent="0.25">
      <c r="A640" s="19">
        <f t="shared" si="336"/>
        <v>629</v>
      </c>
      <c r="B640" s="10" t="s">
        <v>129</v>
      </c>
      <c r="C640" s="11" t="s">
        <v>535</v>
      </c>
      <c r="D640" s="11" t="s">
        <v>553</v>
      </c>
      <c r="E640" s="11" t="s">
        <v>130</v>
      </c>
      <c r="F640" s="12">
        <v>5755.56</v>
      </c>
      <c r="G640" s="12">
        <v>6009.98</v>
      </c>
      <c r="H640" s="12">
        <v>6250.5</v>
      </c>
    </row>
    <row r="641" spans="1:8" ht="54" x14ac:dyDescent="0.25">
      <c r="A641" s="19">
        <f t="shared" si="336"/>
        <v>630</v>
      </c>
      <c r="B641" s="10" t="s">
        <v>28</v>
      </c>
      <c r="C641" s="11" t="s">
        <v>535</v>
      </c>
      <c r="D641" s="11" t="s">
        <v>553</v>
      </c>
      <c r="E641" s="11" t="s">
        <v>29</v>
      </c>
      <c r="F641" s="12">
        <v>1392.28</v>
      </c>
      <c r="G641" s="12">
        <v>1364.99</v>
      </c>
      <c r="H641" s="12">
        <v>1364.99</v>
      </c>
    </row>
    <row r="642" spans="1:8" ht="36" x14ac:dyDescent="0.25">
      <c r="A642" s="19">
        <f t="shared" si="336"/>
        <v>631</v>
      </c>
      <c r="B642" s="10" t="s">
        <v>40</v>
      </c>
      <c r="C642" s="11" t="s">
        <v>535</v>
      </c>
      <c r="D642" s="11" t="s">
        <v>553</v>
      </c>
      <c r="E642" s="11" t="s">
        <v>41</v>
      </c>
      <c r="F642" s="12">
        <f>86.36+190.72</f>
        <v>277.08</v>
      </c>
      <c r="G642" s="12">
        <v>86.36</v>
      </c>
      <c r="H642" s="12">
        <v>86.36</v>
      </c>
    </row>
    <row r="643" spans="1:8" ht="90" x14ac:dyDescent="0.25">
      <c r="A643" s="19">
        <f t="shared" si="336"/>
        <v>632</v>
      </c>
      <c r="B643" s="10" t="s">
        <v>759</v>
      </c>
      <c r="C643" s="11" t="s">
        <v>535</v>
      </c>
      <c r="D643" s="11" t="s">
        <v>760</v>
      </c>
      <c r="E643" s="11"/>
      <c r="F643" s="12">
        <f>SUM(F644)</f>
        <v>1150</v>
      </c>
      <c r="G643" s="12">
        <f t="shared" ref="G643:H643" si="368">SUM(G644)</f>
        <v>1150</v>
      </c>
      <c r="H643" s="12">
        <f t="shared" si="368"/>
        <v>0</v>
      </c>
    </row>
    <row r="644" spans="1:8" ht="54" x14ac:dyDescent="0.25">
      <c r="A644" s="19">
        <f t="shared" si="336"/>
        <v>633</v>
      </c>
      <c r="B644" s="10" t="s">
        <v>28</v>
      </c>
      <c r="C644" s="11" t="s">
        <v>535</v>
      </c>
      <c r="D644" s="11" t="s">
        <v>760</v>
      </c>
      <c r="E644" s="11" t="s">
        <v>29</v>
      </c>
      <c r="F644" s="12">
        <v>1150</v>
      </c>
      <c r="G644" s="12">
        <v>1150</v>
      </c>
      <c r="H644" s="12">
        <v>0</v>
      </c>
    </row>
    <row r="645" spans="1:8" ht="72" x14ac:dyDescent="0.25">
      <c r="A645" s="19">
        <f t="shared" si="336"/>
        <v>634</v>
      </c>
      <c r="B645" s="10" t="s">
        <v>554</v>
      </c>
      <c r="C645" s="11" t="s">
        <v>535</v>
      </c>
      <c r="D645" s="11" t="s">
        <v>555</v>
      </c>
      <c r="E645" s="11"/>
      <c r="F645" s="12">
        <f>SUM(F646)</f>
        <v>1409.5</v>
      </c>
      <c r="G645" s="12">
        <f t="shared" ref="G645:H645" si="369">SUM(G646)</f>
        <v>0</v>
      </c>
      <c r="H645" s="12">
        <f t="shared" si="369"/>
        <v>0</v>
      </c>
    </row>
    <row r="646" spans="1:8" x14ac:dyDescent="0.25">
      <c r="A646" s="19">
        <f t="shared" si="336"/>
        <v>635</v>
      </c>
      <c r="B646" s="10" t="s">
        <v>137</v>
      </c>
      <c r="C646" s="11" t="s">
        <v>535</v>
      </c>
      <c r="D646" s="11" t="s">
        <v>555</v>
      </c>
      <c r="E646" s="11" t="s">
        <v>138</v>
      </c>
      <c r="F646" s="12">
        <f>1295.5+114</f>
        <v>1409.5</v>
      </c>
      <c r="G646" s="12">
        <v>0</v>
      </c>
      <c r="H646" s="12">
        <v>0</v>
      </c>
    </row>
    <row r="647" spans="1:8" ht="36" x14ac:dyDescent="0.25">
      <c r="A647" s="19">
        <f t="shared" si="336"/>
        <v>636</v>
      </c>
      <c r="B647" s="10" t="s">
        <v>556</v>
      </c>
      <c r="C647" s="11" t="s">
        <v>535</v>
      </c>
      <c r="D647" s="11" t="s">
        <v>557</v>
      </c>
      <c r="E647" s="11"/>
      <c r="F647" s="12">
        <f>SUM(F648)</f>
        <v>95.1</v>
      </c>
      <c r="G647" s="12">
        <f t="shared" ref="G647:H647" si="370">SUM(G648)</f>
        <v>0</v>
      </c>
      <c r="H647" s="12">
        <f t="shared" si="370"/>
        <v>0</v>
      </c>
    </row>
    <row r="648" spans="1:8" ht="54" x14ac:dyDescent="0.25">
      <c r="A648" s="19">
        <f t="shared" ref="A648:A702" si="371">SUM(A647+1)</f>
        <v>637</v>
      </c>
      <c r="B648" s="10" t="s">
        <v>28</v>
      </c>
      <c r="C648" s="11" t="s">
        <v>535</v>
      </c>
      <c r="D648" s="11" t="s">
        <v>557</v>
      </c>
      <c r="E648" s="11" t="s">
        <v>29</v>
      </c>
      <c r="F648" s="12">
        <v>95.1</v>
      </c>
      <c r="G648" s="12">
        <v>0</v>
      </c>
      <c r="H648" s="12">
        <v>0</v>
      </c>
    </row>
    <row r="649" spans="1:8" ht="36" x14ac:dyDescent="0.25">
      <c r="A649" s="19">
        <f t="shared" si="371"/>
        <v>638</v>
      </c>
      <c r="B649" s="10" t="s">
        <v>556</v>
      </c>
      <c r="C649" s="11" t="s">
        <v>535</v>
      </c>
      <c r="D649" s="11" t="s">
        <v>558</v>
      </c>
      <c r="E649" s="11"/>
      <c r="F649" s="12">
        <f>SUM(F650)</f>
        <v>95.1</v>
      </c>
      <c r="G649" s="12">
        <f t="shared" ref="G649:H649" si="372">SUM(G650)</f>
        <v>0</v>
      </c>
      <c r="H649" s="12">
        <f t="shared" si="372"/>
        <v>0</v>
      </c>
    </row>
    <row r="650" spans="1:8" ht="54" x14ac:dyDescent="0.25">
      <c r="A650" s="19">
        <f t="shared" si="371"/>
        <v>639</v>
      </c>
      <c r="B650" s="10" t="s">
        <v>28</v>
      </c>
      <c r="C650" s="11" t="s">
        <v>535</v>
      </c>
      <c r="D650" s="11" t="s">
        <v>558</v>
      </c>
      <c r="E650" s="11" t="s">
        <v>29</v>
      </c>
      <c r="F650" s="12">
        <v>95.1</v>
      </c>
      <c r="G650" s="12">
        <v>0</v>
      </c>
      <c r="H650" s="12">
        <v>0</v>
      </c>
    </row>
    <row r="651" spans="1:8" ht="72" x14ac:dyDescent="0.25">
      <c r="A651" s="19">
        <f t="shared" si="371"/>
        <v>640</v>
      </c>
      <c r="B651" s="10" t="s">
        <v>559</v>
      </c>
      <c r="C651" s="11" t="s">
        <v>535</v>
      </c>
      <c r="D651" s="11" t="s">
        <v>560</v>
      </c>
      <c r="E651" s="11"/>
      <c r="F651" s="12">
        <f>SUM(F652+F654+F657+F659)</f>
        <v>1390.9399999999996</v>
      </c>
      <c r="G651" s="12">
        <f t="shared" ref="G651:H651" si="373">SUM(G652+G654+G657+G659)</f>
        <v>1353.69</v>
      </c>
      <c r="H651" s="12">
        <f t="shared" si="373"/>
        <v>1390.5299999999997</v>
      </c>
    </row>
    <row r="652" spans="1:8" ht="36" x14ac:dyDescent="0.25">
      <c r="A652" s="19">
        <f t="shared" si="371"/>
        <v>641</v>
      </c>
      <c r="B652" s="10" t="s">
        <v>561</v>
      </c>
      <c r="C652" s="11" t="s">
        <v>535</v>
      </c>
      <c r="D652" s="11" t="s">
        <v>562</v>
      </c>
      <c r="E652" s="11"/>
      <c r="F652" s="12">
        <f>SUM(F653)</f>
        <v>262.60000000000002</v>
      </c>
      <c r="G652" s="12">
        <f t="shared" ref="G652:H652" si="374">SUM(G653)</f>
        <v>262.60000000000002</v>
      </c>
      <c r="H652" s="12">
        <f t="shared" si="374"/>
        <v>262.60000000000002</v>
      </c>
    </row>
    <row r="653" spans="1:8" ht="54" x14ac:dyDescent="0.25">
      <c r="A653" s="19">
        <f t="shared" si="371"/>
        <v>642</v>
      </c>
      <c r="B653" s="10" t="s">
        <v>28</v>
      </c>
      <c r="C653" s="11" t="s">
        <v>535</v>
      </c>
      <c r="D653" s="11" t="s">
        <v>562</v>
      </c>
      <c r="E653" s="11" t="s">
        <v>29</v>
      </c>
      <c r="F653" s="12">
        <v>262.60000000000002</v>
      </c>
      <c r="G653" s="12">
        <v>262.60000000000002</v>
      </c>
      <c r="H653" s="12">
        <v>262.60000000000002</v>
      </c>
    </row>
    <row r="654" spans="1:8" ht="36" x14ac:dyDescent="0.25">
      <c r="A654" s="19">
        <f t="shared" si="371"/>
        <v>643</v>
      </c>
      <c r="B654" s="10" t="s">
        <v>563</v>
      </c>
      <c r="C654" s="11" t="s">
        <v>535</v>
      </c>
      <c r="D654" s="11" t="s">
        <v>564</v>
      </c>
      <c r="E654" s="11"/>
      <c r="F654" s="12">
        <f>SUM(F655:F656)</f>
        <v>1055.1399999999999</v>
      </c>
      <c r="G654" s="12">
        <f t="shared" ref="G654:H654" si="375">SUM(G655:G656)</f>
        <v>1091.0900000000001</v>
      </c>
      <c r="H654" s="12">
        <f t="shared" si="375"/>
        <v>1127.9299999999998</v>
      </c>
    </row>
    <row r="655" spans="1:8" ht="36" x14ac:dyDescent="0.25">
      <c r="A655" s="19">
        <f t="shared" ref="A655:A720" si="376">SUM(A654+1)</f>
        <v>644</v>
      </c>
      <c r="B655" s="10" t="s">
        <v>129</v>
      </c>
      <c r="C655" s="11" t="s">
        <v>535</v>
      </c>
      <c r="D655" s="11" t="s">
        <v>564</v>
      </c>
      <c r="E655" s="11" t="s">
        <v>130</v>
      </c>
      <c r="F655" s="12">
        <v>884.14</v>
      </c>
      <c r="G655" s="12">
        <v>920.09</v>
      </c>
      <c r="H655" s="12">
        <v>956.93</v>
      </c>
    </row>
    <row r="656" spans="1:8" ht="54" x14ac:dyDescent="0.25">
      <c r="A656" s="19">
        <f t="shared" si="376"/>
        <v>645</v>
      </c>
      <c r="B656" s="10" t="s">
        <v>28</v>
      </c>
      <c r="C656" s="11" t="s">
        <v>535</v>
      </c>
      <c r="D656" s="11" t="s">
        <v>564</v>
      </c>
      <c r="E656" s="11" t="s">
        <v>29</v>
      </c>
      <c r="F656" s="12">
        <v>171</v>
      </c>
      <c r="G656" s="12">
        <v>171</v>
      </c>
      <c r="H656" s="12">
        <v>171</v>
      </c>
    </row>
    <row r="657" spans="1:8" ht="54" x14ac:dyDescent="0.25">
      <c r="A657" s="19">
        <f t="shared" si="376"/>
        <v>646</v>
      </c>
      <c r="B657" s="10" t="s">
        <v>565</v>
      </c>
      <c r="C657" s="11" t="s">
        <v>535</v>
      </c>
      <c r="D657" s="11" t="s">
        <v>566</v>
      </c>
      <c r="E657" s="11"/>
      <c r="F657" s="12">
        <f>SUM(F658)</f>
        <v>36.6</v>
      </c>
      <c r="G657" s="12">
        <f t="shared" ref="G657:H657" si="377">SUM(G658)</f>
        <v>0</v>
      </c>
      <c r="H657" s="12">
        <f t="shared" si="377"/>
        <v>0</v>
      </c>
    </row>
    <row r="658" spans="1:8" ht="54" x14ac:dyDescent="0.25">
      <c r="A658" s="19">
        <f t="shared" si="376"/>
        <v>647</v>
      </c>
      <c r="B658" s="10" t="s">
        <v>28</v>
      </c>
      <c r="C658" s="11" t="s">
        <v>535</v>
      </c>
      <c r="D658" s="11" t="s">
        <v>566</v>
      </c>
      <c r="E658" s="11" t="s">
        <v>29</v>
      </c>
      <c r="F658" s="12">
        <v>36.6</v>
      </c>
      <c r="G658" s="12">
        <v>0</v>
      </c>
      <c r="H658" s="12">
        <v>0</v>
      </c>
    </row>
    <row r="659" spans="1:8" ht="54" x14ac:dyDescent="0.25">
      <c r="A659" s="19">
        <f t="shared" si="376"/>
        <v>648</v>
      </c>
      <c r="B659" s="10" t="s">
        <v>567</v>
      </c>
      <c r="C659" s="11" t="s">
        <v>535</v>
      </c>
      <c r="D659" s="11" t="s">
        <v>568</v>
      </c>
      <c r="E659" s="11"/>
      <c r="F659" s="12">
        <f>SUM(F660)</f>
        <v>36.6</v>
      </c>
      <c r="G659" s="12">
        <f t="shared" ref="G659:H659" si="378">SUM(G660)</f>
        <v>0</v>
      </c>
      <c r="H659" s="12">
        <f t="shared" si="378"/>
        <v>0</v>
      </c>
    </row>
    <row r="660" spans="1:8" ht="54" x14ac:dyDescent="0.25">
      <c r="A660" s="19">
        <f t="shared" si="376"/>
        <v>649</v>
      </c>
      <c r="B660" s="10" t="s">
        <v>28</v>
      </c>
      <c r="C660" s="11" t="s">
        <v>535</v>
      </c>
      <c r="D660" s="11" t="s">
        <v>568</v>
      </c>
      <c r="E660" s="11" t="s">
        <v>29</v>
      </c>
      <c r="F660" s="12">
        <v>36.6</v>
      </c>
      <c r="G660" s="12">
        <v>0</v>
      </c>
      <c r="H660" s="12">
        <v>0</v>
      </c>
    </row>
    <row r="661" spans="1:8" ht="90" x14ac:dyDescent="0.25">
      <c r="A661" s="19">
        <f t="shared" si="376"/>
        <v>650</v>
      </c>
      <c r="B661" s="10" t="s">
        <v>176</v>
      </c>
      <c r="C661" s="11" t="s">
        <v>535</v>
      </c>
      <c r="D661" s="11" t="s">
        <v>177</v>
      </c>
      <c r="E661" s="11"/>
      <c r="F661" s="12">
        <f>SUM(F662)</f>
        <v>90</v>
      </c>
      <c r="G661" s="12">
        <f t="shared" ref="G661:H661" si="379">SUM(G662)</f>
        <v>90</v>
      </c>
      <c r="H661" s="12">
        <f t="shared" si="379"/>
        <v>90</v>
      </c>
    </row>
    <row r="662" spans="1:8" ht="54" x14ac:dyDescent="0.25">
      <c r="A662" s="19">
        <f t="shared" si="376"/>
        <v>651</v>
      </c>
      <c r="B662" s="10" t="s">
        <v>569</v>
      </c>
      <c r="C662" s="11" t="s">
        <v>535</v>
      </c>
      <c r="D662" s="11" t="s">
        <v>570</v>
      </c>
      <c r="E662" s="11"/>
      <c r="F662" s="12">
        <f>SUM(F663)</f>
        <v>90</v>
      </c>
      <c r="G662" s="12">
        <f t="shared" ref="G662:H662" si="380">SUM(G663)</f>
        <v>90</v>
      </c>
      <c r="H662" s="12">
        <f t="shared" si="380"/>
        <v>90</v>
      </c>
    </row>
    <row r="663" spans="1:8" ht="54" x14ac:dyDescent="0.25">
      <c r="A663" s="19">
        <f t="shared" si="376"/>
        <v>652</v>
      </c>
      <c r="B663" s="10" t="s">
        <v>28</v>
      </c>
      <c r="C663" s="11" t="s">
        <v>535</v>
      </c>
      <c r="D663" s="11" t="s">
        <v>570</v>
      </c>
      <c r="E663" s="11" t="s">
        <v>29</v>
      </c>
      <c r="F663" s="12">
        <v>90</v>
      </c>
      <c r="G663" s="12">
        <v>90</v>
      </c>
      <c r="H663" s="12">
        <v>90</v>
      </c>
    </row>
    <row r="664" spans="1:8" ht="36" x14ac:dyDescent="0.25">
      <c r="A664" s="18">
        <f t="shared" si="376"/>
        <v>653</v>
      </c>
      <c r="B664" s="14" t="s">
        <v>571</v>
      </c>
      <c r="C664" s="15" t="s">
        <v>572</v>
      </c>
      <c r="D664" s="15"/>
      <c r="E664" s="15"/>
      <c r="F664" s="16">
        <f>SUM(F669+F665+F705)</f>
        <v>98437.440000000002</v>
      </c>
      <c r="G664" s="16">
        <f t="shared" ref="G664:H664" si="381">SUM(G669+G665+G705)</f>
        <v>82925.19</v>
      </c>
      <c r="H664" s="16">
        <f t="shared" si="381"/>
        <v>85797.07</v>
      </c>
    </row>
    <row r="665" spans="1:8" s="32" customFormat="1" ht="108" x14ac:dyDescent="0.25">
      <c r="A665" s="19">
        <f t="shared" si="376"/>
        <v>654</v>
      </c>
      <c r="B665" s="10" t="s">
        <v>836</v>
      </c>
      <c r="C665" s="11" t="s">
        <v>572</v>
      </c>
      <c r="D665" s="24" t="s">
        <v>88</v>
      </c>
      <c r="E665" s="11"/>
      <c r="F665" s="12">
        <f>SUM(F666)</f>
        <v>2385</v>
      </c>
      <c r="G665" s="12">
        <f t="shared" ref="G665:H665" si="382">SUM(G666)</f>
        <v>0</v>
      </c>
      <c r="H665" s="12">
        <f t="shared" si="382"/>
        <v>0</v>
      </c>
    </row>
    <row r="666" spans="1:8" s="32" customFormat="1" ht="144" x14ac:dyDescent="0.25">
      <c r="A666" s="19">
        <f t="shared" si="376"/>
        <v>655</v>
      </c>
      <c r="B666" s="10" t="s">
        <v>837</v>
      </c>
      <c r="C666" s="11" t="s">
        <v>572</v>
      </c>
      <c r="D666" s="24" t="s">
        <v>90</v>
      </c>
      <c r="E666" s="11"/>
      <c r="F666" s="12">
        <f>SUM(F667)</f>
        <v>2385</v>
      </c>
      <c r="G666" s="12">
        <f t="shared" ref="G666:H666" si="383">SUM(G667)</f>
        <v>0</v>
      </c>
      <c r="H666" s="12">
        <f t="shared" si="383"/>
        <v>0</v>
      </c>
    </row>
    <row r="667" spans="1:8" s="32" customFormat="1" ht="36" x14ac:dyDescent="0.25">
      <c r="A667" s="19">
        <f t="shared" si="376"/>
        <v>656</v>
      </c>
      <c r="B667" s="10" t="s">
        <v>838</v>
      </c>
      <c r="C667" s="11" t="s">
        <v>572</v>
      </c>
      <c r="D667" s="24" t="s">
        <v>92</v>
      </c>
      <c r="E667" s="11"/>
      <c r="F667" s="12">
        <f>SUM(F668)</f>
        <v>2385</v>
      </c>
      <c r="G667" s="12">
        <f t="shared" ref="G667:H667" si="384">SUM(G668)</f>
        <v>0</v>
      </c>
      <c r="H667" s="12">
        <f t="shared" si="384"/>
        <v>0</v>
      </c>
    </row>
    <row r="668" spans="1:8" s="32" customFormat="1" ht="54" x14ac:dyDescent="0.25">
      <c r="A668" s="19">
        <f t="shared" si="376"/>
        <v>657</v>
      </c>
      <c r="B668" s="10" t="s">
        <v>28</v>
      </c>
      <c r="C668" s="11" t="s">
        <v>572</v>
      </c>
      <c r="D668" s="24" t="s">
        <v>92</v>
      </c>
      <c r="E668" s="11">
        <v>240</v>
      </c>
      <c r="F668" s="12">
        <v>2385</v>
      </c>
      <c r="G668" s="12">
        <v>0</v>
      </c>
      <c r="H668" s="12">
        <v>0</v>
      </c>
    </row>
    <row r="669" spans="1:8" ht="54" x14ac:dyDescent="0.25">
      <c r="A669" s="19">
        <f t="shared" si="376"/>
        <v>658</v>
      </c>
      <c r="B669" s="10" t="s">
        <v>469</v>
      </c>
      <c r="C669" s="11" t="s">
        <v>572</v>
      </c>
      <c r="D669" s="11" t="s">
        <v>470</v>
      </c>
      <c r="E669" s="11"/>
      <c r="F669" s="12">
        <f>SUM(F670+F674+F694)</f>
        <v>96012</v>
      </c>
      <c r="G669" s="12">
        <f t="shared" ref="G669:H669" si="385">SUM(G670+G674+G694)</f>
        <v>82925.19</v>
      </c>
      <c r="H669" s="12">
        <f t="shared" si="385"/>
        <v>85797.07</v>
      </c>
    </row>
    <row r="670" spans="1:8" ht="39.75" customHeight="1" x14ac:dyDescent="0.25">
      <c r="A670" s="19">
        <f t="shared" si="376"/>
        <v>659</v>
      </c>
      <c r="B670" s="10" t="s">
        <v>488</v>
      </c>
      <c r="C670" s="11" t="s">
        <v>572</v>
      </c>
      <c r="D670" s="24" t="s">
        <v>489</v>
      </c>
      <c r="E670" s="11"/>
      <c r="F670" s="12">
        <f>SUM(F671)</f>
        <v>3724.21</v>
      </c>
      <c r="G670" s="12">
        <f t="shared" ref="G670:H670" si="386">SUM(G671)</f>
        <v>0</v>
      </c>
      <c r="H670" s="12">
        <f t="shared" si="386"/>
        <v>0</v>
      </c>
    </row>
    <row r="671" spans="1:8" ht="90" x14ac:dyDescent="0.25">
      <c r="A671" s="19">
        <f t="shared" si="376"/>
        <v>660</v>
      </c>
      <c r="B671" s="10" t="s">
        <v>783</v>
      </c>
      <c r="C671" s="11" t="s">
        <v>572</v>
      </c>
      <c r="D671" s="11" t="s">
        <v>784</v>
      </c>
      <c r="E671" s="11"/>
      <c r="F671" s="12">
        <f>SUM(F672:F673)</f>
        <v>3724.21</v>
      </c>
      <c r="G671" s="12">
        <f t="shared" ref="G671:H671" si="387">SUM(G672:G673)</f>
        <v>0</v>
      </c>
      <c r="H671" s="12">
        <f t="shared" si="387"/>
        <v>0</v>
      </c>
    </row>
    <row r="672" spans="1:8" x14ac:dyDescent="0.25">
      <c r="A672" s="19">
        <f t="shared" si="376"/>
        <v>661</v>
      </c>
      <c r="B672" s="10" t="s">
        <v>137</v>
      </c>
      <c r="C672" s="11" t="s">
        <v>572</v>
      </c>
      <c r="D672" s="11" t="s">
        <v>784</v>
      </c>
      <c r="E672" s="11">
        <v>610</v>
      </c>
      <c r="F672" s="12">
        <v>2369.9499999999998</v>
      </c>
      <c r="G672" s="12">
        <v>0</v>
      </c>
      <c r="H672" s="12">
        <v>0</v>
      </c>
    </row>
    <row r="673" spans="1:8" x14ac:dyDescent="0.25">
      <c r="A673" s="19">
        <f t="shared" si="376"/>
        <v>662</v>
      </c>
      <c r="B673" s="10" t="s">
        <v>143</v>
      </c>
      <c r="C673" s="11" t="s">
        <v>572</v>
      </c>
      <c r="D673" s="11" t="s">
        <v>784</v>
      </c>
      <c r="E673" s="11">
        <v>620</v>
      </c>
      <c r="F673" s="12">
        <v>1354.26</v>
      </c>
      <c r="G673" s="12">
        <v>0</v>
      </c>
      <c r="H673" s="12">
        <v>0</v>
      </c>
    </row>
    <row r="674" spans="1:8" ht="72" x14ac:dyDescent="0.25">
      <c r="A674" s="19">
        <f t="shared" si="371"/>
        <v>663</v>
      </c>
      <c r="B674" s="10" t="s">
        <v>512</v>
      </c>
      <c r="C674" s="11" t="s">
        <v>572</v>
      </c>
      <c r="D674" s="11" t="s">
        <v>513</v>
      </c>
      <c r="E674" s="11"/>
      <c r="F674" s="12">
        <f>SUM(F675+F677+F681+F685+F689+F691)</f>
        <v>37310.47</v>
      </c>
      <c r="G674" s="12">
        <f t="shared" ref="G674:H674" si="388">SUM(G675+G677+G681+G685+G689+G691)</f>
        <v>33048.42</v>
      </c>
      <c r="H674" s="12">
        <f t="shared" si="388"/>
        <v>34369.879999999997</v>
      </c>
    </row>
    <row r="675" spans="1:8" ht="162.75" customHeight="1" x14ac:dyDescent="0.25">
      <c r="A675" s="19">
        <f t="shared" si="371"/>
        <v>664</v>
      </c>
      <c r="B675" s="10" t="s">
        <v>573</v>
      </c>
      <c r="C675" s="11" t="s">
        <v>572</v>
      </c>
      <c r="D675" s="11" t="s">
        <v>574</v>
      </c>
      <c r="E675" s="11"/>
      <c r="F675" s="12">
        <f>SUM(F676)</f>
        <v>1988.2</v>
      </c>
      <c r="G675" s="12">
        <f t="shared" ref="G675:H675" si="389">SUM(G676)</f>
        <v>2067.8000000000002</v>
      </c>
      <c r="H675" s="12">
        <f t="shared" si="389"/>
        <v>2150.5</v>
      </c>
    </row>
    <row r="676" spans="1:8" ht="54" x14ac:dyDescent="0.25">
      <c r="A676" s="19">
        <f t="shared" si="371"/>
        <v>665</v>
      </c>
      <c r="B676" s="10" t="s">
        <v>28</v>
      </c>
      <c r="C676" s="11" t="s">
        <v>572</v>
      </c>
      <c r="D676" s="11" t="s">
        <v>574</v>
      </c>
      <c r="E676" s="11" t="s">
        <v>29</v>
      </c>
      <c r="F676" s="12">
        <v>1988.2</v>
      </c>
      <c r="G676" s="12">
        <v>2067.8000000000002</v>
      </c>
      <c r="H676" s="12">
        <v>2150.5</v>
      </c>
    </row>
    <row r="677" spans="1:8" ht="36" x14ac:dyDescent="0.25">
      <c r="A677" s="19">
        <f t="shared" si="371"/>
        <v>666</v>
      </c>
      <c r="B677" s="10" t="s">
        <v>575</v>
      </c>
      <c r="C677" s="11" t="s">
        <v>572</v>
      </c>
      <c r="D677" s="11" t="s">
        <v>576</v>
      </c>
      <c r="E677" s="11"/>
      <c r="F677" s="12">
        <f>SUM(F678:F680)</f>
        <v>16443.599999999999</v>
      </c>
      <c r="G677" s="12">
        <f t="shared" ref="G677:H677" si="390">SUM(G678)</f>
        <v>17101.3</v>
      </c>
      <c r="H677" s="12">
        <f t="shared" si="390"/>
        <v>17785.099999999999</v>
      </c>
    </row>
    <row r="678" spans="1:8" ht="54" x14ac:dyDescent="0.25">
      <c r="A678" s="19">
        <f t="shared" si="371"/>
        <v>667</v>
      </c>
      <c r="B678" s="10" t="s">
        <v>28</v>
      </c>
      <c r="C678" s="11" t="s">
        <v>572</v>
      </c>
      <c r="D678" s="11" t="s">
        <v>576</v>
      </c>
      <c r="E678" s="11" t="s">
        <v>29</v>
      </c>
      <c r="F678" s="12">
        <f>12426.05-796.78</f>
        <v>11629.269999999999</v>
      </c>
      <c r="G678" s="12">
        <v>17101.3</v>
      </c>
      <c r="H678" s="12">
        <v>17785.099999999999</v>
      </c>
    </row>
    <row r="679" spans="1:8" x14ac:dyDescent="0.25">
      <c r="A679" s="19">
        <f t="shared" si="371"/>
        <v>668</v>
      </c>
      <c r="B679" s="10" t="s">
        <v>137</v>
      </c>
      <c r="C679" s="11" t="s">
        <v>572</v>
      </c>
      <c r="D679" s="11" t="s">
        <v>576</v>
      </c>
      <c r="E679" s="11">
        <v>610</v>
      </c>
      <c r="F679" s="12">
        <f>2598.02+525.58</f>
        <v>3123.6</v>
      </c>
      <c r="G679" s="12">
        <v>0</v>
      </c>
      <c r="H679" s="12">
        <v>0</v>
      </c>
    </row>
    <row r="680" spans="1:8" x14ac:dyDescent="0.25">
      <c r="A680" s="19">
        <f t="shared" si="371"/>
        <v>669</v>
      </c>
      <c r="B680" s="10" t="s">
        <v>143</v>
      </c>
      <c r="C680" s="11" t="s">
        <v>572</v>
      </c>
      <c r="D680" s="11" t="s">
        <v>576</v>
      </c>
      <c r="E680" s="11">
        <v>620</v>
      </c>
      <c r="F680" s="12">
        <f>1419.53+271.2</f>
        <v>1690.73</v>
      </c>
      <c r="G680" s="12">
        <v>0</v>
      </c>
      <c r="H680" s="12">
        <v>0</v>
      </c>
    </row>
    <row r="681" spans="1:8" ht="108" x14ac:dyDescent="0.25">
      <c r="A681" s="19">
        <f t="shared" si="376"/>
        <v>670</v>
      </c>
      <c r="B681" s="10" t="s">
        <v>786</v>
      </c>
      <c r="C681" s="11" t="s">
        <v>572</v>
      </c>
      <c r="D681" s="24" t="s">
        <v>785</v>
      </c>
      <c r="E681" s="11"/>
      <c r="F681" s="12">
        <f>SUM(F682:F684)</f>
        <v>3929</v>
      </c>
      <c r="G681" s="12">
        <f t="shared" ref="G681:H681" si="391">SUM(G682:G684)</f>
        <v>0</v>
      </c>
      <c r="H681" s="12">
        <f t="shared" si="391"/>
        <v>0</v>
      </c>
    </row>
    <row r="682" spans="1:8" ht="54" x14ac:dyDescent="0.25">
      <c r="A682" s="19">
        <f t="shared" si="376"/>
        <v>671</v>
      </c>
      <c r="B682" s="10" t="s">
        <v>28</v>
      </c>
      <c r="C682" s="11" t="s">
        <v>572</v>
      </c>
      <c r="D682" s="24" t="s">
        <v>785</v>
      </c>
      <c r="E682" s="11">
        <v>240</v>
      </c>
      <c r="F682" s="12">
        <f>3929-3928.91</f>
        <v>9.0000000000145519E-2</v>
      </c>
      <c r="G682" s="12">
        <v>0</v>
      </c>
      <c r="H682" s="12">
        <v>0</v>
      </c>
    </row>
    <row r="683" spans="1:8" x14ac:dyDescent="0.25">
      <c r="A683" s="19">
        <f t="shared" si="376"/>
        <v>672</v>
      </c>
      <c r="B683" s="10" t="s">
        <v>137</v>
      </c>
      <c r="C683" s="11" t="s">
        <v>572</v>
      </c>
      <c r="D683" s="24" t="s">
        <v>785</v>
      </c>
      <c r="E683" s="11">
        <v>610</v>
      </c>
      <c r="F683" s="12">
        <v>1825.74</v>
      </c>
      <c r="G683" s="12">
        <v>0</v>
      </c>
      <c r="H683" s="12">
        <v>0</v>
      </c>
    </row>
    <row r="684" spans="1:8" x14ac:dyDescent="0.25">
      <c r="A684" s="19">
        <f t="shared" si="376"/>
        <v>673</v>
      </c>
      <c r="B684" s="10" t="s">
        <v>143</v>
      </c>
      <c r="C684" s="11" t="s">
        <v>572</v>
      </c>
      <c r="D684" s="24" t="s">
        <v>785</v>
      </c>
      <c r="E684" s="11">
        <v>620</v>
      </c>
      <c r="F684" s="12">
        <v>2103.17</v>
      </c>
      <c r="G684" s="12">
        <v>0</v>
      </c>
      <c r="H684" s="12">
        <v>0</v>
      </c>
    </row>
    <row r="685" spans="1:8" ht="54" x14ac:dyDescent="0.25">
      <c r="A685" s="19">
        <f t="shared" si="376"/>
        <v>674</v>
      </c>
      <c r="B685" s="10" t="s">
        <v>577</v>
      </c>
      <c r="C685" s="11" t="s">
        <v>572</v>
      </c>
      <c r="D685" s="11" t="s">
        <v>578</v>
      </c>
      <c r="E685" s="11"/>
      <c r="F685" s="12">
        <f>SUM(F686:F688)</f>
        <v>13345.529999999999</v>
      </c>
      <c r="G685" s="12">
        <f t="shared" ref="G685:H685" si="392">SUM(G686:G688)</f>
        <v>13879.32</v>
      </c>
      <c r="H685" s="12">
        <f t="shared" si="392"/>
        <v>14434.28</v>
      </c>
    </row>
    <row r="686" spans="1:8" ht="54" x14ac:dyDescent="0.25">
      <c r="A686" s="19">
        <f t="shared" si="376"/>
        <v>675</v>
      </c>
      <c r="B686" s="10" t="s">
        <v>28</v>
      </c>
      <c r="C686" s="11" t="s">
        <v>572</v>
      </c>
      <c r="D686" s="11" t="s">
        <v>578</v>
      </c>
      <c r="E686" s="11" t="s">
        <v>29</v>
      </c>
      <c r="F686" s="12">
        <f>8040.45-510.97</f>
        <v>7529.48</v>
      </c>
      <c r="G686" s="12">
        <v>13879.32</v>
      </c>
      <c r="H686" s="12">
        <v>14434.28</v>
      </c>
    </row>
    <row r="687" spans="1:8" x14ac:dyDescent="0.25">
      <c r="A687" s="19">
        <f t="shared" si="376"/>
        <v>676</v>
      </c>
      <c r="B687" s="10" t="s">
        <v>137</v>
      </c>
      <c r="C687" s="11" t="s">
        <v>572</v>
      </c>
      <c r="D687" s="11" t="s">
        <v>578</v>
      </c>
      <c r="E687" s="11">
        <v>610</v>
      </c>
      <c r="F687" s="12">
        <f>3771.48+496.41</f>
        <v>4267.8900000000003</v>
      </c>
      <c r="G687" s="12">
        <v>0</v>
      </c>
      <c r="H687" s="12">
        <v>0</v>
      </c>
    </row>
    <row r="688" spans="1:8" x14ac:dyDescent="0.25">
      <c r="A688" s="19">
        <f t="shared" si="376"/>
        <v>677</v>
      </c>
      <c r="B688" s="10" t="s">
        <v>143</v>
      </c>
      <c r="C688" s="11" t="s">
        <v>572</v>
      </c>
      <c r="D688" s="11" t="s">
        <v>578</v>
      </c>
      <c r="E688" s="11">
        <v>620</v>
      </c>
      <c r="F688" s="12">
        <f>1533.6+14.56</f>
        <v>1548.1599999999999</v>
      </c>
      <c r="G688" s="12">
        <v>0</v>
      </c>
      <c r="H688" s="12">
        <v>0</v>
      </c>
    </row>
    <row r="689" spans="1:8" ht="54" x14ac:dyDescent="0.25">
      <c r="A689" s="19">
        <f t="shared" si="376"/>
        <v>678</v>
      </c>
      <c r="B689" s="10" t="s">
        <v>577</v>
      </c>
      <c r="C689" s="11" t="s">
        <v>572</v>
      </c>
      <c r="D689" s="24" t="s">
        <v>801</v>
      </c>
      <c r="E689" s="11"/>
      <c r="F689" s="12">
        <f>SUM(F690)</f>
        <v>1506.24</v>
      </c>
      <c r="G689" s="12">
        <f t="shared" ref="G689:H689" si="393">SUM(G690)</f>
        <v>0</v>
      </c>
      <c r="H689" s="12">
        <f t="shared" si="393"/>
        <v>0</v>
      </c>
    </row>
    <row r="690" spans="1:8" ht="54" x14ac:dyDescent="0.25">
      <c r="A690" s="19">
        <f t="shared" si="376"/>
        <v>679</v>
      </c>
      <c r="B690" s="10" t="s">
        <v>28</v>
      </c>
      <c r="C690" s="11" t="s">
        <v>572</v>
      </c>
      <c r="D690" s="24" t="s">
        <v>801</v>
      </c>
      <c r="E690" s="11">
        <v>240</v>
      </c>
      <c r="F690" s="12">
        <v>1506.24</v>
      </c>
      <c r="G690" s="12">
        <v>0</v>
      </c>
      <c r="H690" s="12">
        <v>0</v>
      </c>
    </row>
    <row r="691" spans="1:8" ht="72" x14ac:dyDescent="0.25">
      <c r="A691" s="19">
        <f t="shared" si="376"/>
        <v>680</v>
      </c>
      <c r="B691" s="10" t="s">
        <v>800</v>
      </c>
      <c r="C691" s="11" t="s">
        <v>572</v>
      </c>
      <c r="D691" s="24" t="s">
        <v>799</v>
      </c>
      <c r="E691" s="11"/>
      <c r="F691" s="12">
        <f>SUM(F692:F693)</f>
        <v>97.899999999999991</v>
      </c>
      <c r="G691" s="12">
        <f t="shared" ref="G691:H691" si="394">SUM(G692:G693)</f>
        <v>0</v>
      </c>
      <c r="H691" s="12">
        <f t="shared" si="394"/>
        <v>0</v>
      </c>
    </row>
    <row r="692" spans="1:8" x14ac:dyDescent="0.25">
      <c r="A692" s="19">
        <f t="shared" si="376"/>
        <v>681</v>
      </c>
      <c r="B692" s="10" t="s">
        <v>137</v>
      </c>
      <c r="C692" s="11" t="s">
        <v>572</v>
      </c>
      <c r="D692" s="24" t="s">
        <v>799</v>
      </c>
      <c r="E692" s="11">
        <v>610</v>
      </c>
      <c r="F692" s="12">
        <v>67.099999999999994</v>
      </c>
      <c r="G692" s="12">
        <v>0</v>
      </c>
      <c r="H692" s="12">
        <v>0</v>
      </c>
    </row>
    <row r="693" spans="1:8" x14ac:dyDescent="0.25">
      <c r="A693" s="19">
        <f t="shared" si="376"/>
        <v>682</v>
      </c>
      <c r="B693" s="10" t="s">
        <v>143</v>
      </c>
      <c r="C693" s="11" t="s">
        <v>572</v>
      </c>
      <c r="D693" s="24" t="s">
        <v>799</v>
      </c>
      <c r="E693" s="11">
        <v>620</v>
      </c>
      <c r="F693" s="12">
        <v>30.8</v>
      </c>
      <c r="G693" s="12">
        <v>0</v>
      </c>
      <c r="H693" s="12">
        <v>0</v>
      </c>
    </row>
    <row r="694" spans="1:8" ht="90" x14ac:dyDescent="0.25">
      <c r="A694" s="19">
        <f t="shared" si="376"/>
        <v>683</v>
      </c>
      <c r="B694" s="10" t="s">
        <v>579</v>
      </c>
      <c r="C694" s="11" t="s">
        <v>572</v>
      </c>
      <c r="D694" s="11" t="s">
        <v>580</v>
      </c>
      <c r="E694" s="11"/>
      <c r="F694" s="12">
        <f>SUM(F695+F700+F698)</f>
        <v>54977.32</v>
      </c>
      <c r="G694" s="12">
        <f t="shared" ref="G694:H694" si="395">SUM(G695+G700+G698)</f>
        <v>49876.770000000004</v>
      </c>
      <c r="H694" s="12">
        <f t="shared" si="395"/>
        <v>51427.19</v>
      </c>
    </row>
    <row r="695" spans="1:8" ht="36" x14ac:dyDescent="0.25">
      <c r="A695" s="19">
        <f t="shared" si="376"/>
        <v>684</v>
      </c>
      <c r="B695" s="10" t="s">
        <v>581</v>
      </c>
      <c r="C695" s="11" t="s">
        <v>572</v>
      </c>
      <c r="D695" s="11" t="s">
        <v>582</v>
      </c>
      <c r="E695" s="11"/>
      <c r="F695" s="12">
        <f>SUM(F696:F697)</f>
        <v>10415.15</v>
      </c>
      <c r="G695" s="12">
        <f t="shared" ref="G695:H695" si="396">SUM(G696:G697)</f>
        <v>10842.49</v>
      </c>
      <c r="H695" s="12">
        <f t="shared" si="396"/>
        <v>11246.96</v>
      </c>
    </row>
    <row r="696" spans="1:8" ht="36" x14ac:dyDescent="0.25">
      <c r="A696" s="19">
        <f t="shared" si="371"/>
        <v>685</v>
      </c>
      <c r="B696" s="10" t="s">
        <v>18</v>
      </c>
      <c r="C696" s="11" t="s">
        <v>572</v>
      </c>
      <c r="D696" s="11" t="s">
        <v>582</v>
      </c>
      <c r="E696" s="11" t="s">
        <v>19</v>
      </c>
      <c r="F696" s="12">
        <v>9482.6</v>
      </c>
      <c r="G696" s="12">
        <v>9897.6</v>
      </c>
      <c r="H696" s="12">
        <v>10293.9</v>
      </c>
    </row>
    <row r="697" spans="1:8" ht="54" x14ac:dyDescent="0.25">
      <c r="A697" s="19">
        <f t="shared" si="371"/>
        <v>686</v>
      </c>
      <c r="B697" s="10" t="s">
        <v>28</v>
      </c>
      <c r="C697" s="11" t="s">
        <v>572</v>
      </c>
      <c r="D697" s="11" t="s">
        <v>582</v>
      </c>
      <c r="E697" s="11" t="s">
        <v>29</v>
      </c>
      <c r="F697" s="12">
        <v>932.55</v>
      </c>
      <c r="G697" s="12">
        <v>944.89</v>
      </c>
      <c r="H697" s="12">
        <v>953.06</v>
      </c>
    </row>
    <row r="698" spans="1:8" ht="162" x14ac:dyDescent="0.25">
      <c r="A698" s="19">
        <f t="shared" si="371"/>
        <v>687</v>
      </c>
      <c r="B698" s="10" t="s">
        <v>825</v>
      </c>
      <c r="C698" s="11" t="s">
        <v>572</v>
      </c>
      <c r="D698" s="24" t="s">
        <v>826</v>
      </c>
      <c r="E698" s="11"/>
      <c r="F698" s="12">
        <f>SUM(F699)</f>
        <v>140</v>
      </c>
      <c r="G698" s="12">
        <f t="shared" ref="G698:H698" si="397">SUM(G699)</f>
        <v>0</v>
      </c>
      <c r="H698" s="12">
        <f t="shared" si="397"/>
        <v>0</v>
      </c>
    </row>
    <row r="699" spans="1:8" x14ac:dyDescent="0.25">
      <c r="A699" s="19">
        <f t="shared" si="371"/>
        <v>688</v>
      </c>
      <c r="B699" s="10" t="s">
        <v>827</v>
      </c>
      <c r="C699" s="11" t="s">
        <v>572</v>
      </c>
      <c r="D699" s="24" t="s">
        <v>826</v>
      </c>
      <c r="E699" s="11">
        <v>360</v>
      </c>
      <c r="F699" s="12">
        <v>140</v>
      </c>
      <c r="G699" s="12">
        <v>0</v>
      </c>
      <c r="H699" s="12">
        <v>0</v>
      </c>
    </row>
    <row r="700" spans="1:8" ht="72" x14ac:dyDescent="0.25">
      <c r="A700" s="19">
        <f t="shared" si="371"/>
        <v>689</v>
      </c>
      <c r="B700" s="10" t="s">
        <v>583</v>
      </c>
      <c r="C700" s="11" t="s">
        <v>572</v>
      </c>
      <c r="D700" s="11" t="s">
        <v>584</v>
      </c>
      <c r="E700" s="11"/>
      <c r="F700" s="12">
        <f>SUM(F701:F704)</f>
        <v>44422.17</v>
      </c>
      <c r="G700" s="12">
        <f t="shared" ref="G700:H700" si="398">SUM(G701:G704)</f>
        <v>39034.280000000006</v>
      </c>
      <c r="H700" s="12">
        <f t="shared" si="398"/>
        <v>40180.230000000003</v>
      </c>
    </row>
    <row r="701" spans="1:8" ht="36" x14ac:dyDescent="0.25">
      <c r="A701" s="19">
        <f t="shared" si="371"/>
        <v>690</v>
      </c>
      <c r="B701" s="10" t="s">
        <v>129</v>
      </c>
      <c r="C701" s="11" t="s">
        <v>572</v>
      </c>
      <c r="D701" s="11" t="s">
        <v>584</v>
      </c>
      <c r="E701" s="11" t="s">
        <v>130</v>
      </c>
      <c r="F701" s="12">
        <f>26957.82-1794.42</f>
        <v>25163.4</v>
      </c>
      <c r="G701" s="12">
        <v>28136.880000000001</v>
      </c>
      <c r="H701" s="12">
        <v>29263.03</v>
      </c>
    </row>
    <row r="702" spans="1:8" ht="54" x14ac:dyDescent="0.25">
      <c r="A702" s="19">
        <f t="shared" si="371"/>
        <v>691</v>
      </c>
      <c r="B702" s="10" t="s">
        <v>28</v>
      </c>
      <c r="C702" s="11" t="s">
        <v>572</v>
      </c>
      <c r="D702" s="11" t="s">
        <v>584</v>
      </c>
      <c r="E702" s="11" t="s">
        <v>29</v>
      </c>
      <c r="F702" s="12">
        <v>7635.52</v>
      </c>
      <c r="G702" s="12">
        <v>10872</v>
      </c>
      <c r="H702" s="12">
        <v>10891.8</v>
      </c>
    </row>
    <row r="703" spans="1:8" x14ac:dyDescent="0.25">
      <c r="A703" s="19">
        <f t="shared" si="376"/>
        <v>692</v>
      </c>
      <c r="B703" s="10" t="s">
        <v>137</v>
      </c>
      <c r="C703" s="11" t="s">
        <v>572</v>
      </c>
      <c r="D703" s="11" t="s">
        <v>584</v>
      </c>
      <c r="E703" s="11">
        <v>610</v>
      </c>
      <c r="F703" s="12">
        <v>11620.75</v>
      </c>
      <c r="G703" s="12">
        <v>0</v>
      </c>
      <c r="H703" s="12">
        <v>0</v>
      </c>
    </row>
    <row r="704" spans="1:8" ht="36" x14ac:dyDescent="0.25">
      <c r="A704" s="19">
        <f t="shared" si="376"/>
        <v>693</v>
      </c>
      <c r="B704" s="10" t="s">
        <v>40</v>
      </c>
      <c r="C704" s="11" t="s">
        <v>572</v>
      </c>
      <c r="D704" s="11" t="s">
        <v>584</v>
      </c>
      <c r="E704" s="11" t="s">
        <v>41</v>
      </c>
      <c r="F704" s="12">
        <f>25.4-22.9</f>
        <v>2.5</v>
      </c>
      <c r="G704" s="12">
        <v>25.4</v>
      </c>
      <c r="H704" s="12">
        <v>25.4</v>
      </c>
    </row>
    <row r="705" spans="1:8" x14ac:dyDescent="0.25">
      <c r="A705" s="19">
        <f t="shared" si="376"/>
        <v>694</v>
      </c>
      <c r="B705" s="10" t="s">
        <v>22</v>
      </c>
      <c r="C705" s="11" t="s">
        <v>572</v>
      </c>
      <c r="D705" s="24" t="s">
        <v>23</v>
      </c>
      <c r="E705" s="11"/>
      <c r="F705" s="12">
        <f>SUM(F706)</f>
        <v>40.44</v>
      </c>
      <c r="G705" s="12">
        <f t="shared" ref="G705:H705" si="399">SUM(G706)</f>
        <v>0</v>
      </c>
      <c r="H705" s="12">
        <f t="shared" si="399"/>
        <v>0</v>
      </c>
    </row>
    <row r="706" spans="1:8" ht="91.5" customHeight="1" x14ac:dyDescent="0.25">
      <c r="A706" s="19">
        <f t="shared" si="376"/>
        <v>695</v>
      </c>
      <c r="B706" s="10" t="s">
        <v>840</v>
      </c>
      <c r="C706" s="11" t="s">
        <v>572</v>
      </c>
      <c r="D706" s="24" t="s">
        <v>839</v>
      </c>
      <c r="E706" s="11"/>
      <c r="F706" s="12">
        <f>SUM(F707)</f>
        <v>40.44</v>
      </c>
      <c r="G706" s="12">
        <f t="shared" ref="G706:H706" si="400">SUM(G707)</f>
        <v>0</v>
      </c>
      <c r="H706" s="12">
        <f t="shared" si="400"/>
        <v>0</v>
      </c>
    </row>
    <row r="707" spans="1:8" ht="36" x14ac:dyDescent="0.25">
      <c r="A707" s="19">
        <f t="shared" si="376"/>
        <v>696</v>
      </c>
      <c r="B707" s="10" t="s">
        <v>18</v>
      </c>
      <c r="C707" s="11" t="s">
        <v>572</v>
      </c>
      <c r="D707" s="24" t="s">
        <v>839</v>
      </c>
      <c r="E707" s="11">
        <v>120</v>
      </c>
      <c r="F707" s="12">
        <v>40.44</v>
      </c>
      <c r="G707" s="12">
        <v>0</v>
      </c>
      <c r="H707" s="12">
        <v>0</v>
      </c>
    </row>
    <row r="708" spans="1:8" x14ac:dyDescent="0.25">
      <c r="A708" s="19">
        <f t="shared" si="376"/>
        <v>697</v>
      </c>
      <c r="B708" s="14" t="s">
        <v>585</v>
      </c>
      <c r="C708" s="15" t="s">
        <v>586</v>
      </c>
      <c r="D708" s="15"/>
      <c r="E708" s="15"/>
      <c r="F708" s="16">
        <f>SUM(F709+F757)</f>
        <v>152907.21</v>
      </c>
      <c r="G708" s="16">
        <f t="shared" ref="G708:H708" si="401">SUM(G709+G757)</f>
        <v>150076.47</v>
      </c>
      <c r="H708" s="16">
        <f t="shared" si="401"/>
        <v>150721.57</v>
      </c>
    </row>
    <row r="709" spans="1:8" x14ac:dyDescent="0.25">
      <c r="A709" s="18">
        <f t="shared" si="376"/>
        <v>698</v>
      </c>
      <c r="B709" s="14" t="s">
        <v>587</v>
      </c>
      <c r="C709" s="15" t="s">
        <v>588</v>
      </c>
      <c r="D709" s="15"/>
      <c r="E709" s="15"/>
      <c r="F709" s="16">
        <f>SUM(F710+F714+F718+F750+F754)</f>
        <v>118257.70999999999</v>
      </c>
      <c r="G709" s="16">
        <f t="shared" ref="G709:H709" si="402">SUM(G710+G714+G718+G750+G754)</f>
        <v>114702.17</v>
      </c>
      <c r="H709" s="16">
        <f t="shared" si="402"/>
        <v>113980.37</v>
      </c>
    </row>
    <row r="710" spans="1:8" ht="108" x14ac:dyDescent="0.25">
      <c r="A710" s="19">
        <f t="shared" si="376"/>
        <v>699</v>
      </c>
      <c r="B710" s="10" t="s">
        <v>87</v>
      </c>
      <c r="C710" s="11" t="s">
        <v>588</v>
      </c>
      <c r="D710" s="11" t="s">
        <v>88</v>
      </c>
      <c r="E710" s="11"/>
      <c r="F710" s="12">
        <f>SUM(F711)</f>
        <v>0</v>
      </c>
      <c r="G710" s="12">
        <f t="shared" ref="G710:H710" si="403">SUM(G711)</f>
        <v>2100</v>
      </c>
      <c r="H710" s="12">
        <f t="shared" si="403"/>
        <v>1600</v>
      </c>
    </row>
    <row r="711" spans="1:8" ht="144" x14ac:dyDescent="0.25">
      <c r="A711" s="19">
        <f t="shared" si="376"/>
        <v>700</v>
      </c>
      <c r="B711" s="10" t="s">
        <v>89</v>
      </c>
      <c r="C711" s="11" t="s">
        <v>588</v>
      </c>
      <c r="D711" s="11" t="s">
        <v>90</v>
      </c>
      <c r="E711" s="11"/>
      <c r="F711" s="12">
        <f>SUM(F712)</f>
        <v>0</v>
      </c>
      <c r="G711" s="12">
        <f t="shared" ref="G711:H711" si="404">SUM(G712)</f>
        <v>2100</v>
      </c>
      <c r="H711" s="12">
        <f t="shared" si="404"/>
        <v>1600</v>
      </c>
    </row>
    <row r="712" spans="1:8" ht="72" x14ac:dyDescent="0.25">
      <c r="A712" s="19">
        <f t="shared" si="376"/>
        <v>701</v>
      </c>
      <c r="B712" s="10" t="s">
        <v>589</v>
      </c>
      <c r="C712" s="11" t="s">
        <v>588</v>
      </c>
      <c r="D712" s="11" t="s">
        <v>590</v>
      </c>
      <c r="E712" s="11"/>
      <c r="F712" s="12">
        <f>SUM(F713)</f>
        <v>0</v>
      </c>
      <c r="G712" s="12">
        <f t="shared" ref="G712:H712" si="405">SUM(G713)</f>
        <v>2100</v>
      </c>
      <c r="H712" s="12">
        <f t="shared" si="405"/>
        <v>1600</v>
      </c>
    </row>
    <row r="713" spans="1:8" ht="54" x14ac:dyDescent="0.25">
      <c r="A713" s="19">
        <f t="shared" si="376"/>
        <v>702</v>
      </c>
      <c r="B713" s="10" t="s">
        <v>28</v>
      </c>
      <c r="C713" s="11" t="s">
        <v>588</v>
      </c>
      <c r="D713" s="11" t="s">
        <v>590</v>
      </c>
      <c r="E713" s="11" t="s">
        <v>29</v>
      </c>
      <c r="F713" s="12">
        <f>1600-1600</f>
        <v>0</v>
      </c>
      <c r="G713" s="12">
        <f>1600+500</f>
        <v>2100</v>
      </c>
      <c r="H713" s="12">
        <v>1600</v>
      </c>
    </row>
    <row r="714" spans="1:8" ht="54" x14ac:dyDescent="0.25">
      <c r="A714" s="19">
        <f t="shared" si="376"/>
        <v>703</v>
      </c>
      <c r="B714" s="10" t="s">
        <v>469</v>
      </c>
      <c r="C714" s="11" t="s">
        <v>588</v>
      </c>
      <c r="D714" s="11" t="s">
        <v>470</v>
      </c>
      <c r="E714" s="11"/>
      <c r="F714" s="12">
        <f>SUM(F715)</f>
        <v>2257.44</v>
      </c>
      <c r="G714" s="12">
        <f t="shared" ref="G714:H714" si="406">SUM(G715)</f>
        <v>0</v>
      </c>
      <c r="H714" s="12">
        <f t="shared" si="406"/>
        <v>0</v>
      </c>
    </row>
    <row r="715" spans="1:8" ht="54" x14ac:dyDescent="0.25">
      <c r="A715" s="19">
        <f t="shared" si="376"/>
        <v>704</v>
      </c>
      <c r="B715" s="10" t="s">
        <v>488</v>
      </c>
      <c r="C715" s="11" t="s">
        <v>588</v>
      </c>
      <c r="D715" s="11" t="s">
        <v>489</v>
      </c>
      <c r="E715" s="11"/>
      <c r="F715" s="12">
        <f>SUM(F716)</f>
        <v>2257.44</v>
      </c>
      <c r="G715" s="12">
        <f t="shared" ref="G715:H715" si="407">SUM(G716)</f>
        <v>0</v>
      </c>
      <c r="H715" s="12">
        <f t="shared" si="407"/>
        <v>0</v>
      </c>
    </row>
    <row r="716" spans="1:8" ht="108" x14ac:dyDescent="0.25">
      <c r="A716" s="19">
        <f t="shared" si="376"/>
        <v>705</v>
      </c>
      <c r="B716" s="10" t="s">
        <v>591</v>
      </c>
      <c r="C716" s="11" t="s">
        <v>588</v>
      </c>
      <c r="D716" s="11" t="s">
        <v>592</v>
      </c>
      <c r="E716" s="11"/>
      <c r="F716" s="12">
        <f>SUM(F717)</f>
        <v>2257.44</v>
      </c>
      <c r="G716" s="12">
        <f t="shared" ref="G716:H716" si="408">SUM(G717)</f>
        <v>0</v>
      </c>
      <c r="H716" s="12">
        <f t="shared" si="408"/>
        <v>0</v>
      </c>
    </row>
    <row r="717" spans="1:8" x14ac:dyDescent="0.25">
      <c r="A717" s="19">
        <f t="shared" si="376"/>
        <v>706</v>
      </c>
      <c r="B717" s="10" t="s">
        <v>143</v>
      </c>
      <c r="C717" s="11" t="s">
        <v>588</v>
      </c>
      <c r="D717" s="11" t="s">
        <v>592</v>
      </c>
      <c r="E717" s="11" t="s">
        <v>144</v>
      </c>
      <c r="F717" s="12">
        <f>2371.85-114.41</f>
        <v>2257.44</v>
      </c>
      <c r="G717" s="12">
        <v>0</v>
      </c>
      <c r="H717" s="12">
        <v>0</v>
      </c>
    </row>
    <row r="718" spans="1:8" ht="54" x14ac:dyDescent="0.25">
      <c r="A718" s="19">
        <f t="shared" si="376"/>
        <v>707</v>
      </c>
      <c r="B718" s="10" t="s">
        <v>288</v>
      </c>
      <c r="C718" s="11" t="s">
        <v>588</v>
      </c>
      <c r="D718" s="11" t="s">
        <v>289</v>
      </c>
      <c r="E718" s="11"/>
      <c r="F718" s="12">
        <f>SUM(F719)</f>
        <v>115843.34</v>
      </c>
      <c r="G718" s="12">
        <f t="shared" ref="G718:H718" si="409">SUM(G719)</f>
        <v>112445.24</v>
      </c>
      <c r="H718" s="12">
        <f t="shared" si="409"/>
        <v>112223.44</v>
      </c>
    </row>
    <row r="719" spans="1:8" ht="54" x14ac:dyDescent="0.25">
      <c r="A719" s="19">
        <f t="shared" si="376"/>
        <v>708</v>
      </c>
      <c r="B719" s="10" t="s">
        <v>593</v>
      </c>
      <c r="C719" s="11" t="s">
        <v>588</v>
      </c>
      <c r="D719" s="11" t="s">
        <v>594</v>
      </c>
      <c r="E719" s="11"/>
      <c r="F719" s="12">
        <f>SUM(F720+F722+F724+F726+F728+F731+F734+F736+F738+F742+F744+F748+F740+F746)</f>
        <v>115843.34</v>
      </c>
      <c r="G719" s="12">
        <f t="shared" ref="G719:H719" si="410">SUM(G720+G722+G724+G726+G728+G731+G734+G736+G738+G742+G744+G748+G740+G746)</f>
        <v>112445.24</v>
      </c>
      <c r="H719" s="12">
        <f t="shared" si="410"/>
        <v>112223.44</v>
      </c>
    </row>
    <row r="720" spans="1:8" ht="72" x14ac:dyDescent="0.25">
      <c r="A720" s="19">
        <f t="shared" si="376"/>
        <v>709</v>
      </c>
      <c r="B720" s="10" t="s">
        <v>595</v>
      </c>
      <c r="C720" s="11" t="s">
        <v>588</v>
      </c>
      <c r="D720" s="11" t="s">
        <v>596</v>
      </c>
      <c r="E720" s="11"/>
      <c r="F720" s="12">
        <f>SUM(F721)</f>
        <v>24484.7</v>
      </c>
      <c r="G720" s="12">
        <f t="shared" ref="G720:H720" si="411">SUM(G721)</f>
        <v>26148</v>
      </c>
      <c r="H720" s="12">
        <f t="shared" si="411"/>
        <v>27812</v>
      </c>
    </row>
    <row r="721" spans="1:8" x14ac:dyDescent="0.25">
      <c r="A721" s="19">
        <f t="shared" ref="A721:A773" si="412">SUM(A720+1)</f>
        <v>710</v>
      </c>
      <c r="B721" s="10" t="s">
        <v>137</v>
      </c>
      <c r="C721" s="11" t="s">
        <v>588</v>
      </c>
      <c r="D721" s="11" t="s">
        <v>596</v>
      </c>
      <c r="E721" s="11" t="s">
        <v>138</v>
      </c>
      <c r="F721" s="12">
        <v>24484.7</v>
      </c>
      <c r="G721" s="12">
        <v>26148</v>
      </c>
      <c r="H721" s="12">
        <v>27812</v>
      </c>
    </row>
    <row r="722" spans="1:8" ht="54" x14ac:dyDescent="0.25">
      <c r="A722" s="19">
        <f t="shared" si="412"/>
        <v>711</v>
      </c>
      <c r="B722" s="10" t="s">
        <v>597</v>
      </c>
      <c r="C722" s="11" t="s">
        <v>588</v>
      </c>
      <c r="D722" s="11" t="s">
        <v>598</v>
      </c>
      <c r="E722" s="11"/>
      <c r="F722" s="12">
        <f>SUM(F723)</f>
        <v>71509.600000000006</v>
      </c>
      <c r="G722" s="12">
        <f t="shared" ref="G722:H722" si="413">SUM(G723)</f>
        <v>76376</v>
      </c>
      <c r="H722" s="12">
        <f t="shared" si="413"/>
        <v>81136.399999999994</v>
      </c>
    </row>
    <row r="723" spans="1:8" x14ac:dyDescent="0.25">
      <c r="A723" s="19">
        <f t="shared" si="412"/>
        <v>712</v>
      </c>
      <c r="B723" s="10" t="s">
        <v>137</v>
      </c>
      <c r="C723" s="11" t="s">
        <v>588</v>
      </c>
      <c r="D723" s="11" t="s">
        <v>598</v>
      </c>
      <c r="E723" s="11" t="s">
        <v>138</v>
      </c>
      <c r="F723" s="12">
        <v>71509.600000000006</v>
      </c>
      <c r="G723" s="12">
        <v>76376</v>
      </c>
      <c r="H723" s="12">
        <v>81136.399999999994</v>
      </c>
    </row>
    <row r="724" spans="1:8" ht="54" x14ac:dyDescent="0.25">
      <c r="A724" s="19">
        <f t="shared" si="412"/>
        <v>713</v>
      </c>
      <c r="B724" s="10" t="s">
        <v>599</v>
      </c>
      <c r="C724" s="11" t="s">
        <v>588</v>
      </c>
      <c r="D724" s="11" t="s">
        <v>600</v>
      </c>
      <c r="E724" s="11"/>
      <c r="F724" s="12">
        <f>SUM(F725)</f>
        <v>54.1</v>
      </c>
      <c r="G724" s="12">
        <f t="shared" ref="G724:H724" si="414">SUM(G725)</f>
        <v>54.1</v>
      </c>
      <c r="H724" s="12">
        <f t="shared" si="414"/>
        <v>54.1</v>
      </c>
    </row>
    <row r="725" spans="1:8" x14ac:dyDescent="0.25">
      <c r="A725" s="19">
        <f t="shared" si="412"/>
        <v>714</v>
      </c>
      <c r="B725" s="10" t="s">
        <v>137</v>
      </c>
      <c r="C725" s="11" t="s">
        <v>588</v>
      </c>
      <c r="D725" s="11" t="s">
        <v>600</v>
      </c>
      <c r="E725" s="11" t="s">
        <v>138</v>
      </c>
      <c r="F725" s="12">
        <v>54.1</v>
      </c>
      <c r="G725" s="12">
        <v>54.1</v>
      </c>
      <c r="H725" s="12">
        <v>54.1</v>
      </c>
    </row>
    <row r="726" spans="1:8" ht="36" x14ac:dyDescent="0.25">
      <c r="A726" s="19">
        <f t="shared" si="412"/>
        <v>715</v>
      </c>
      <c r="B726" s="10" t="s">
        <v>601</v>
      </c>
      <c r="C726" s="11" t="s">
        <v>588</v>
      </c>
      <c r="D726" s="11" t="s">
        <v>602</v>
      </c>
      <c r="E726" s="11"/>
      <c r="F726" s="12">
        <f>SUM(F727)</f>
        <v>1331</v>
      </c>
      <c r="G726" s="12">
        <f t="shared" ref="G726:H726" si="415">SUM(G727)</f>
        <v>151.6</v>
      </c>
      <c r="H726" s="12">
        <f t="shared" si="415"/>
        <v>151.6</v>
      </c>
    </row>
    <row r="727" spans="1:8" ht="54" x14ac:dyDescent="0.25">
      <c r="A727" s="19">
        <f t="shared" si="412"/>
        <v>716</v>
      </c>
      <c r="B727" s="10" t="s">
        <v>28</v>
      </c>
      <c r="C727" s="11" t="s">
        <v>588</v>
      </c>
      <c r="D727" s="11" t="s">
        <v>602</v>
      </c>
      <c r="E727" s="11" t="s">
        <v>29</v>
      </c>
      <c r="F727" s="12">
        <v>1331</v>
      </c>
      <c r="G727" s="12">
        <v>151.6</v>
      </c>
      <c r="H727" s="12">
        <v>151.6</v>
      </c>
    </row>
    <row r="728" spans="1:8" ht="36" x14ac:dyDescent="0.25">
      <c r="A728" s="19">
        <f t="shared" ref="A728:A788" si="416">SUM(A727+1)</f>
        <v>717</v>
      </c>
      <c r="B728" s="10" t="s">
        <v>603</v>
      </c>
      <c r="C728" s="11" t="s">
        <v>588</v>
      </c>
      <c r="D728" s="11" t="s">
        <v>604</v>
      </c>
      <c r="E728" s="11"/>
      <c r="F728" s="12">
        <f>SUM(F729:F730)</f>
        <v>1948.7399999999998</v>
      </c>
      <c r="G728" s="12">
        <f t="shared" ref="G728:H728" si="417">SUM(G729:G730)</f>
        <v>1948.74</v>
      </c>
      <c r="H728" s="12">
        <f t="shared" si="417"/>
        <v>1948.74</v>
      </c>
    </row>
    <row r="729" spans="1:8" ht="54" x14ac:dyDescent="0.25">
      <c r="A729" s="19">
        <f t="shared" si="416"/>
        <v>718</v>
      </c>
      <c r="B729" s="10" t="s">
        <v>28</v>
      </c>
      <c r="C729" s="11" t="s">
        <v>588</v>
      </c>
      <c r="D729" s="11" t="s">
        <v>604</v>
      </c>
      <c r="E729" s="11" t="s">
        <v>29</v>
      </c>
      <c r="F729" s="12">
        <f>974.37-684</f>
        <v>290.37</v>
      </c>
      <c r="G729" s="12">
        <v>974.37</v>
      </c>
      <c r="H729" s="12">
        <v>974.37</v>
      </c>
    </row>
    <row r="730" spans="1:8" x14ac:dyDescent="0.25">
      <c r="A730" s="19">
        <f t="shared" si="416"/>
        <v>719</v>
      </c>
      <c r="B730" s="10" t="s">
        <v>137</v>
      </c>
      <c r="C730" s="11" t="s">
        <v>588</v>
      </c>
      <c r="D730" s="11" t="s">
        <v>604</v>
      </c>
      <c r="E730" s="11" t="s">
        <v>138</v>
      </c>
      <c r="F730" s="12">
        <f>974.37+684</f>
        <v>1658.37</v>
      </c>
      <c r="G730" s="12">
        <v>974.37</v>
      </c>
      <c r="H730" s="12">
        <v>974.37</v>
      </c>
    </row>
    <row r="731" spans="1:8" x14ac:dyDescent="0.25">
      <c r="A731" s="19">
        <f t="shared" si="416"/>
        <v>720</v>
      </c>
      <c r="B731" s="10" t="s">
        <v>605</v>
      </c>
      <c r="C731" s="11" t="s">
        <v>588</v>
      </c>
      <c r="D731" s="11" t="s">
        <v>606</v>
      </c>
      <c r="E731" s="11"/>
      <c r="F731" s="12">
        <f>SUM(F732:F733)</f>
        <v>247</v>
      </c>
      <c r="G731" s="12">
        <f t="shared" ref="G731:H731" si="418">SUM(G732:G733)</f>
        <v>247</v>
      </c>
      <c r="H731" s="12">
        <f t="shared" si="418"/>
        <v>247</v>
      </c>
    </row>
    <row r="732" spans="1:8" x14ac:dyDescent="0.25">
      <c r="A732" s="19">
        <f t="shared" si="416"/>
        <v>721</v>
      </c>
      <c r="B732" s="10" t="s">
        <v>204</v>
      </c>
      <c r="C732" s="11" t="s">
        <v>588</v>
      </c>
      <c r="D732" s="11" t="s">
        <v>606</v>
      </c>
      <c r="E732" s="11" t="s">
        <v>205</v>
      </c>
      <c r="F732" s="12">
        <v>75</v>
      </c>
      <c r="G732" s="12">
        <v>75</v>
      </c>
      <c r="H732" s="12">
        <v>75</v>
      </c>
    </row>
    <row r="733" spans="1:8" x14ac:dyDescent="0.25">
      <c r="A733" s="19">
        <f t="shared" si="416"/>
        <v>722</v>
      </c>
      <c r="B733" s="10" t="s">
        <v>137</v>
      </c>
      <c r="C733" s="11" t="s">
        <v>588</v>
      </c>
      <c r="D733" s="11" t="s">
        <v>606</v>
      </c>
      <c r="E733" s="11" t="s">
        <v>138</v>
      </c>
      <c r="F733" s="12">
        <v>172</v>
      </c>
      <c r="G733" s="12">
        <v>172</v>
      </c>
      <c r="H733" s="12">
        <v>172</v>
      </c>
    </row>
    <row r="734" spans="1:8" ht="36" x14ac:dyDescent="0.25">
      <c r="A734" s="19">
        <f t="shared" si="416"/>
        <v>723</v>
      </c>
      <c r="B734" s="10" t="s">
        <v>607</v>
      </c>
      <c r="C734" s="11" t="s">
        <v>588</v>
      </c>
      <c r="D734" s="11" t="s">
        <v>608</v>
      </c>
      <c r="E734" s="11"/>
      <c r="F734" s="12">
        <f>SUM(F735)</f>
        <v>539.20000000000005</v>
      </c>
      <c r="G734" s="12">
        <f t="shared" ref="G734:H734" si="419">SUM(G735)</f>
        <v>539.20000000000005</v>
      </c>
      <c r="H734" s="12">
        <f t="shared" si="419"/>
        <v>539.20000000000005</v>
      </c>
    </row>
    <row r="735" spans="1:8" ht="54" x14ac:dyDescent="0.25">
      <c r="A735" s="19">
        <f t="shared" si="416"/>
        <v>724</v>
      </c>
      <c r="B735" s="10" t="s">
        <v>28</v>
      </c>
      <c r="C735" s="11" t="s">
        <v>588</v>
      </c>
      <c r="D735" s="11" t="s">
        <v>608</v>
      </c>
      <c r="E735" s="11" t="s">
        <v>29</v>
      </c>
      <c r="F735" s="12">
        <v>539.20000000000005</v>
      </c>
      <c r="G735" s="12">
        <v>539.20000000000005</v>
      </c>
      <c r="H735" s="12">
        <v>539.20000000000005</v>
      </c>
    </row>
    <row r="736" spans="1:8" ht="54" x14ac:dyDescent="0.25">
      <c r="A736" s="19">
        <f t="shared" si="416"/>
        <v>725</v>
      </c>
      <c r="B736" s="10" t="s">
        <v>609</v>
      </c>
      <c r="C736" s="11" t="s">
        <v>588</v>
      </c>
      <c r="D736" s="11" t="s">
        <v>610</v>
      </c>
      <c r="E736" s="11"/>
      <c r="F736" s="12">
        <f>SUM(F737)</f>
        <v>52</v>
      </c>
      <c r="G736" s="12">
        <f t="shared" ref="G736:H736" si="420">SUM(G737)</f>
        <v>52</v>
      </c>
      <c r="H736" s="12">
        <f t="shared" si="420"/>
        <v>52</v>
      </c>
    </row>
    <row r="737" spans="1:8" x14ac:dyDescent="0.25">
      <c r="A737" s="19">
        <f t="shared" si="416"/>
        <v>726</v>
      </c>
      <c r="B737" s="10" t="s">
        <v>137</v>
      </c>
      <c r="C737" s="11" t="s">
        <v>588</v>
      </c>
      <c r="D737" s="11" t="s">
        <v>610</v>
      </c>
      <c r="E737" s="11" t="s">
        <v>138</v>
      </c>
      <c r="F737" s="12">
        <v>52</v>
      </c>
      <c r="G737" s="12">
        <v>52</v>
      </c>
      <c r="H737" s="12">
        <v>52</v>
      </c>
    </row>
    <row r="738" spans="1:8" ht="126" x14ac:dyDescent="0.25">
      <c r="A738" s="19">
        <f t="shared" si="416"/>
        <v>727</v>
      </c>
      <c r="B738" s="10" t="s">
        <v>611</v>
      </c>
      <c r="C738" s="11" t="s">
        <v>588</v>
      </c>
      <c r="D738" s="11" t="s">
        <v>612</v>
      </c>
      <c r="E738" s="11"/>
      <c r="F738" s="12">
        <f>SUM(F739)</f>
        <v>610.54</v>
      </c>
      <c r="G738" s="12">
        <f t="shared" ref="G738:H738" si="421">SUM(G739)</f>
        <v>900</v>
      </c>
      <c r="H738" s="12">
        <f t="shared" si="421"/>
        <v>0</v>
      </c>
    </row>
    <row r="739" spans="1:8" x14ac:dyDescent="0.25">
      <c r="A739" s="19">
        <f t="shared" si="416"/>
        <v>728</v>
      </c>
      <c r="B739" s="10" t="s">
        <v>137</v>
      </c>
      <c r="C739" s="11" t="s">
        <v>588</v>
      </c>
      <c r="D739" s="11" t="s">
        <v>612</v>
      </c>
      <c r="E739" s="11" t="s">
        <v>138</v>
      </c>
      <c r="F739" s="12">
        <f>3001-2390.46</f>
        <v>610.54</v>
      </c>
      <c r="G739" s="12">
        <f>1300-400</f>
        <v>900</v>
      </c>
      <c r="H739" s="12">
        <v>0</v>
      </c>
    </row>
    <row r="740" spans="1:8" ht="54" x14ac:dyDescent="0.25">
      <c r="A740" s="19">
        <f t="shared" si="416"/>
        <v>729</v>
      </c>
      <c r="B740" s="10" t="s">
        <v>829</v>
      </c>
      <c r="C740" s="11" t="s">
        <v>588</v>
      </c>
      <c r="D740" s="24" t="s">
        <v>828</v>
      </c>
      <c r="E740" s="11"/>
      <c r="F740" s="12">
        <f>SUM(F741)</f>
        <v>2390.46</v>
      </c>
      <c r="G740" s="12">
        <f t="shared" ref="G740:H740" si="422">SUM(G741)</f>
        <v>400</v>
      </c>
      <c r="H740" s="12">
        <f t="shared" si="422"/>
        <v>0</v>
      </c>
    </row>
    <row r="741" spans="1:8" x14ac:dyDescent="0.25">
      <c r="A741" s="19">
        <f t="shared" si="416"/>
        <v>730</v>
      </c>
      <c r="B741" s="10" t="s">
        <v>137</v>
      </c>
      <c r="C741" s="11" t="s">
        <v>588</v>
      </c>
      <c r="D741" s="24" t="s">
        <v>828</v>
      </c>
      <c r="E741" s="11" t="s">
        <v>138</v>
      </c>
      <c r="F741" s="12">
        <v>2390.46</v>
      </c>
      <c r="G741" s="12">
        <v>400</v>
      </c>
      <c r="H741" s="12"/>
    </row>
    <row r="742" spans="1:8" ht="162" x14ac:dyDescent="0.25">
      <c r="A742" s="19">
        <f t="shared" si="416"/>
        <v>731</v>
      </c>
      <c r="B742" s="10" t="s">
        <v>613</v>
      </c>
      <c r="C742" s="11" t="s">
        <v>588</v>
      </c>
      <c r="D742" s="11" t="s">
        <v>614</v>
      </c>
      <c r="E742" s="11"/>
      <c r="F742" s="12">
        <f>SUM(F743)</f>
        <v>162.4</v>
      </c>
      <c r="G742" s="12">
        <f t="shared" ref="G742:H742" si="423">SUM(G743)</f>
        <v>282.39999999999998</v>
      </c>
      <c r="H742" s="12">
        <f t="shared" si="423"/>
        <v>282.39999999999998</v>
      </c>
    </row>
    <row r="743" spans="1:8" x14ac:dyDescent="0.25">
      <c r="A743" s="19">
        <f t="shared" si="412"/>
        <v>732</v>
      </c>
      <c r="B743" s="10" t="s">
        <v>137</v>
      </c>
      <c r="C743" s="11" t="s">
        <v>588</v>
      </c>
      <c r="D743" s="11" t="s">
        <v>614</v>
      </c>
      <c r="E743" s="11" t="s">
        <v>138</v>
      </c>
      <c r="F743" s="12">
        <v>162.4</v>
      </c>
      <c r="G743" s="12">
        <v>282.39999999999998</v>
      </c>
      <c r="H743" s="12">
        <v>282.39999999999998</v>
      </c>
    </row>
    <row r="744" spans="1:8" ht="126" x14ac:dyDescent="0.25">
      <c r="A744" s="19">
        <f t="shared" si="412"/>
        <v>733</v>
      </c>
      <c r="B744" s="10" t="s">
        <v>615</v>
      </c>
      <c r="C744" s="11" t="s">
        <v>588</v>
      </c>
      <c r="D744" s="11" t="s">
        <v>616</v>
      </c>
      <c r="E744" s="11"/>
      <c r="F744" s="12">
        <f>SUM(F745)</f>
        <v>5364.2</v>
      </c>
      <c r="G744" s="12">
        <f t="shared" ref="G744:H744" si="424">SUM(G745)</f>
        <v>5346.2</v>
      </c>
      <c r="H744" s="12">
        <f t="shared" si="424"/>
        <v>0</v>
      </c>
    </row>
    <row r="745" spans="1:8" x14ac:dyDescent="0.25">
      <c r="A745" s="19">
        <f t="shared" si="412"/>
        <v>734</v>
      </c>
      <c r="B745" s="10" t="s">
        <v>137</v>
      </c>
      <c r="C745" s="11" t="s">
        <v>588</v>
      </c>
      <c r="D745" s="11" t="s">
        <v>616</v>
      </c>
      <c r="E745" s="11" t="s">
        <v>138</v>
      </c>
      <c r="F745" s="12">
        <v>5364.2</v>
      </c>
      <c r="G745" s="12">
        <v>5346.2</v>
      </c>
      <c r="H745" s="12">
        <v>0</v>
      </c>
    </row>
    <row r="746" spans="1:8" ht="108" x14ac:dyDescent="0.25">
      <c r="A746" s="19">
        <f t="shared" si="412"/>
        <v>735</v>
      </c>
      <c r="B746" s="10" t="s">
        <v>842</v>
      </c>
      <c r="C746" s="11" t="s">
        <v>588</v>
      </c>
      <c r="D746" s="24" t="s">
        <v>841</v>
      </c>
      <c r="E746" s="11"/>
      <c r="F746" s="12">
        <f>SUM(F747)</f>
        <v>6909.4</v>
      </c>
      <c r="G746" s="12">
        <f t="shared" ref="G746:H746" si="425">SUM(G747)</f>
        <v>0</v>
      </c>
      <c r="H746" s="12">
        <f t="shared" si="425"/>
        <v>0</v>
      </c>
    </row>
    <row r="747" spans="1:8" x14ac:dyDescent="0.25">
      <c r="A747" s="19">
        <f t="shared" si="412"/>
        <v>736</v>
      </c>
      <c r="B747" s="10" t="s">
        <v>137</v>
      </c>
      <c r="C747" s="11" t="s">
        <v>588</v>
      </c>
      <c r="D747" s="24" t="s">
        <v>841</v>
      </c>
      <c r="E747" s="11">
        <v>610</v>
      </c>
      <c r="F747" s="12">
        <v>6909.4</v>
      </c>
      <c r="G747" s="12">
        <v>0</v>
      </c>
      <c r="H747" s="12">
        <v>0</v>
      </c>
    </row>
    <row r="748" spans="1:8" ht="72" x14ac:dyDescent="0.25">
      <c r="A748" s="19">
        <f t="shared" si="412"/>
        <v>737</v>
      </c>
      <c r="B748" s="10" t="s">
        <v>617</v>
      </c>
      <c r="C748" s="11" t="s">
        <v>588</v>
      </c>
      <c r="D748" s="11" t="s">
        <v>618</v>
      </c>
      <c r="E748" s="11"/>
      <c r="F748" s="12">
        <f>SUM(F749)</f>
        <v>240</v>
      </c>
      <c r="G748" s="12">
        <f t="shared" ref="G748:H748" si="426">SUM(G749)</f>
        <v>0</v>
      </c>
      <c r="H748" s="12">
        <f t="shared" si="426"/>
        <v>0</v>
      </c>
    </row>
    <row r="749" spans="1:8" x14ac:dyDescent="0.25">
      <c r="A749" s="19">
        <f t="shared" si="412"/>
        <v>738</v>
      </c>
      <c r="B749" s="10" t="s">
        <v>137</v>
      </c>
      <c r="C749" s="11" t="s">
        <v>588</v>
      </c>
      <c r="D749" s="11" t="s">
        <v>618</v>
      </c>
      <c r="E749" s="11" t="s">
        <v>138</v>
      </c>
      <c r="F749" s="12">
        <v>240</v>
      </c>
      <c r="G749" s="12">
        <v>0</v>
      </c>
      <c r="H749" s="12">
        <v>0</v>
      </c>
    </row>
    <row r="750" spans="1:8" ht="72" x14ac:dyDescent="0.25">
      <c r="A750" s="19">
        <f t="shared" si="412"/>
        <v>739</v>
      </c>
      <c r="B750" s="10" t="s">
        <v>198</v>
      </c>
      <c r="C750" s="11" t="s">
        <v>588</v>
      </c>
      <c r="D750" s="11" t="s">
        <v>199</v>
      </c>
      <c r="E750" s="11"/>
      <c r="F750" s="12">
        <v>131.93</v>
      </c>
      <c r="G750" s="12">
        <v>131.93</v>
      </c>
      <c r="H750" s="12">
        <v>131.93</v>
      </c>
    </row>
    <row r="751" spans="1:8" ht="90" x14ac:dyDescent="0.25">
      <c r="A751" s="19">
        <f t="shared" si="412"/>
        <v>740</v>
      </c>
      <c r="B751" s="10" t="s">
        <v>619</v>
      </c>
      <c r="C751" s="11" t="s">
        <v>588</v>
      </c>
      <c r="D751" s="11" t="s">
        <v>620</v>
      </c>
      <c r="E751" s="11"/>
      <c r="F751" s="12">
        <f>SUM(F752)</f>
        <v>131.93</v>
      </c>
      <c r="G751" s="12">
        <f t="shared" ref="G751:H751" si="427">SUM(G752)</f>
        <v>131.93</v>
      </c>
      <c r="H751" s="12">
        <f t="shared" si="427"/>
        <v>131.93</v>
      </c>
    </row>
    <row r="752" spans="1:8" ht="54" x14ac:dyDescent="0.25">
      <c r="A752" s="19">
        <f t="shared" si="416"/>
        <v>741</v>
      </c>
      <c r="B752" s="10" t="s">
        <v>621</v>
      </c>
      <c r="C752" s="11" t="s">
        <v>588</v>
      </c>
      <c r="D752" s="11" t="s">
        <v>622</v>
      </c>
      <c r="E752" s="11"/>
      <c r="F752" s="12">
        <f>SUM(F753)</f>
        <v>131.93</v>
      </c>
      <c r="G752" s="12">
        <f t="shared" ref="G752:H752" si="428">SUM(G753)</f>
        <v>131.93</v>
      </c>
      <c r="H752" s="12">
        <f t="shared" si="428"/>
        <v>131.93</v>
      </c>
    </row>
    <row r="753" spans="1:8" x14ac:dyDescent="0.25">
      <c r="A753" s="19">
        <f t="shared" si="416"/>
        <v>742</v>
      </c>
      <c r="B753" s="10" t="s">
        <v>137</v>
      </c>
      <c r="C753" s="11" t="s">
        <v>588</v>
      </c>
      <c r="D753" s="11" t="s">
        <v>622</v>
      </c>
      <c r="E753" s="11" t="s">
        <v>138</v>
      </c>
      <c r="F753" s="12">
        <v>131.93</v>
      </c>
      <c r="G753" s="12">
        <v>131.93</v>
      </c>
      <c r="H753" s="12">
        <v>131.93</v>
      </c>
    </row>
    <row r="754" spans="1:8" ht="90" x14ac:dyDescent="0.25">
      <c r="A754" s="19">
        <f t="shared" si="416"/>
        <v>743</v>
      </c>
      <c r="B754" s="10" t="s">
        <v>176</v>
      </c>
      <c r="C754" s="11" t="s">
        <v>588</v>
      </c>
      <c r="D754" s="11" t="s">
        <v>177</v>
      </c>
      <c r="E754" s="11"/>
      <c r="F754" s="12">
        <f>SUM(F755)</f>
        <v>25</v>
      </c>
      <c r="G754" s="12">
        <f t="shared" ref="G754:H754" si="429">SUM(G755)</f>
        <v>25</v>
      </c>
      <c r="H754" s="12">
        <f t="shared" si="429"/>
        <v>25</v>
      </c>
    </row>
    <row r="755" spans="1:8" ht="54" x14ac:dyDescent="0.25">
      <c r="A755" s="19">
        <f t="shared" si="416"/>
        <v>744</v>
      </c>
      <c r="B755" s="10" t="s">
        <v>569</v>
      </c>
      <c r="C755" s="11" t="s">
        <v>588</v>
      </c>
      <c r="D755" s="11" t="s">
        <v>570</v>
      </c>
      <c r="E755" s="11"/>
      <c r="F755" s="12">
        <f>SUM(F756)</f>
        <v>25</v>
      </c>
      <c r="G755" s="12">
        <f t="shared" ref="G755:H755" si="430">SUM(G756)</f>
        <v>25</v>
      </c>
      <c r="H755" s="12">
        <f t="shared" si="430"/>
        <v>25</v>
      </c>
    </row>
    <row r="756" spans="1:8" x14ac:dyDescent="0.25">
      <c r="A756" s="19">
        <f t="shared" si="416"/>
        <v>745</v>
      </c>
      <c r="B756" s="10" t="s">
        <v>137</v>
      </c>
      <c r="C756" s="11" t="s">
        <v>588</v>
      </c>
      <c r="D756" s="11" t="s">
        <v>570</v>
      </c>
      <c r="E756" s="11" t="s">
        <v>138</v>
      </c>
      <c r="F756" s="12">
        <v>25</v>
      </c>
      <c r="G756" s="12">
        <v>25</v>
      </c>
      <c r="H756" s="12">
        <v>25</v>
      </c>
    </row>
    <row r="757" spans="1:8" ht="36" x14ac:dyDescent="0.25">
      <c r="A757" s="18">
        <f t="shared" si="416"/>
        <v>746</v>
      </c>
      <c r="B757" s="14" t="s">
        <v>623</v>
      </c>
      <c r="C757" s="15" t="s">
        <v>624</v>
      </c>
      <c r="D757" s="15"/>
      <c r="E757" s="15"/>
      <c r="F757" s="16">
        <f>SUM(F758)</f>
        <v>34649.5</v>
      </c>
      <c r="G757" s="16">
        <f t="shared" ref="G757:H757" si="431">SUM(G758)</f>
        <v>35374.299999999996</v>
      </c>
      <c r="H757" s="16">
        <f t="shared" si="431"/>
        <v>36741.199999999997</v>
      </c>
    </row>
    <row r="758" spans="1:8" ht="54" x14ac:dyDescent="0.25">
      <c r="A758" s="19">
        <f t="shared" si="416"/>
        <v>747</v>
      </c>
      <c r="B758" s="10" t="s">
        <v>288</v>
      </c>
      <c r="C758" s="11" t="s">
        <v>624</v>
      </c>
      <c r="D758" s="11" t="s">
        <v>289</v>
      </c>
      <c r="E758" s="11"/>
      <c r="F758" s="12">
        <f>SUM(F759)</f>
        <v>34649.5</v>
      </c>
      <c r="G758" s="12">
        <f t="shared" ref="G758:H758" si="432">SUM(G759)</f>
        <v>35374.299999999996</v>
      </c>
      <c r="H758" s="12">
        <f t="shared" si="432"/>
        <v>36741.199999999997</v>
      </c>
    </row>
    <row r="759" spans="1:8" ht="72" x14ac:dyDescent="0.25">
      <c r="A759" s="19">
        <f t="shared" si="416"/>
        <v>748</v>
      </c>
      <c r="B759" s="10" t="s">
        <v>625</v>
      </c>
      <c r="C759" s="11" t="s">
        <v>624</v>
      </c>
      <c r="D759" s="11" t="s">
        <v>626</v>
      </c>
      <c r="E759" s="11"/>
      <c r="F759" s="12">
        <f>SUM(F760)</f>
        <v>34649.5</v>
      </c>
      <c r="G759" s="12">
        <f t="shared" ref="G759:H759" si="433">SUM(G760)</f>
        <v>35374.299999999996</v>
      </c>
      <c r="H759" s="12">
        <f t="shared" si="433"/>
        <v>36741.199999999997</v>
      </c>
    </row>
    <row r="760" spans="1:8" ht="36" x14ac:dyDescent="0.25">
      <c r="A760" s="19">
        <f t="shared" si="416"/>
        <v>749</v>
      </c>
      <c r="B760" s="10" t="s">
        <v>627</v>
      </c>
      <c r="C760" s="11" t="s">
        <v>624</v>
      </c>
      <c r="D760" s="11" t="s">
        <v>628</v>
      </c>
      <c r="E760" s="11"/>
      <c r="F760" s="12">
        <f>SUM(F761:F762)</f>
        <v>34649.5</v>
      </c>
      <c r="G760" s="12">
        <f t="shared" ref="G760:H760" si="434">SUM(G761:G762)</f>
        <v>35374.299999999996</v>
      </c>
      <c r="H760" s="12">
        <f t="shared" si="434"/>
        <v>36741.199999999997</v>
      </c>
    </row>
    <row r="761" spans="1:8" ht="36" x14ac:dyDescent="0.25">
      <c r="A761" s="19">
        <f t="shared" si="416"/>
        <v>750</v>
      </c>
      <c r="B761" s="10" t="s">
        <v>129</v>
      </c>
      <c r="C761" s="11" t="s">
        <v>624</v>
      </c>
      <c r="D761" s="11" t="s">
        <v>628</v>
      </c>
      <c r="E761" s="11" t="s">
        <v>130</v>
      </c>
      <c r="F761" s="12">
        <v>33422.800000000003</v>
      </c>
      <c r="G761" s="12">
        <v>34147.599999999999</v>
      </c>
      <c r="H761" s="12">
        <v>35514.5</v>
      </c>
    </row>
    <row r="762" spans="1:8" ht="54" x14ac:dyDescent="0.25">
      <c r="A762" s="19">
        <f t="shared" si="416"/>
        <v>751</v>
      </c>
      <c r="B762" s="10" t="s">
        <v>28</v>
      </c>
      <c r="C762" s="11" t="s">
        <v>624</v>
      </c>
      <c r="D762" s="11" t="s">
        <v>628</v>
      </c>
      <c r="E762" s="11" t="s">
        <v>29</v>
      </c>
      <c r="F762" s="12">
        <v>1226.7</v>
      </c>
      <c r="G762" s="12">
        <v>1226.7</v>
      </c>
      <c r="H762" s="12">
        <v>1226.7</v>
      </c>
    </row>
    <row r="763" spans="1:8" x14ac:dyDescent="0.25">
      <c r="A763" s="18">
        <f t="shared" si="416"/>
        <v>752</v>
      </c>
      <c r="B763" s="14" t="s">
        <v>629</v>
      </c>
      <c r="C763" s="15" t="s">
        <v>630</v>
      </c>
      <c r="D763" s="15"/>
      <c r="E763" s="15"/>
      <c r="F763" s="16">
        <f>SUM(F764)</f>
        <v>390.04</v>
      </c>
      <c r="G763" s="16">
        <f t="shared" ref="G763:H763" si="435">SUM(G764)</f>
        <v>350</v>
      </c>
      <c r="H763" s="16">
        <f t="shared" si="435"/>
        <v>350</v>
      </c>
    </row>
    <row r="764" spans="1:8" ht="36" x14ac:dyDescent="0.25">
      <c r="A764" s="18">
        <f t="shared" si="416"/>
        <v>753</v>
      </c>
      <c r="B764" s="14" t="s">
        <v>631</v>
      </c>
      <c r="C764" s="15" t="s">
        <v>632</v>
      </c>
      <c r="D764" s="15"/>
      <c r="E764" s="15"/>
      <c r="F764" s="16">
        <f>SUM(F765)</f>
        <v>390.04</v>
      </c>
      <c r="G764" s="16">
        <f t="shared" ref="G764:H764" si="436">SUM(G765)</f>
        <v>350</v>
      </c>
      <c r="H764" s="16">
        <f t="shared" si="436"/>
        <v>350</v>
      </c>
    </row>
    <row r="765" spans="1:8" ht="54" x14ac:dyDescent="0.25">
      <c r="A765" s="19">
        <f t="shared" si="416"/>
        <v>754</v>
      </c>
      <c r="B765" s="10" t="s">
        <v>103</v>
      </c>
      <c r="C765" s="11" t="s">
        <v>632</v>
      </c>
      <c r="D765" s="11" t="s">
        <v>104</v>
      </c>
      <c r="E765" s="11"/>
      <c r="F765" s="12">
        <f>SUM(F766)</f>
        <v>390.04</v>
      </c>
      <c r="G765" s="12">
        <f t="shared" ref="G765:H765" si="437">SUM(G766)</f>
        <v>350</v>
      </c>
      <c r="H765" s="12">
        <f t="shared" si="437"/>
        <v>350</v>
      </c>
    </row>
    <row r="766" spans="1:8" ht="54" x14ac:dyDescent="0.25">
      <c r="A766" s="19">
        <f t="shared" si="416"/>
        <v>755</v>
      </c>
      <c r="B766" s="10" t="s">
        <v>536</v>
      </c>
      <c r="C766" s="11" t="s">
        <v>632</v>
      </c>
      <c r="D766" s="11" t="s">
        <v>537</v>
      </c>
      <c r="E766" s="11"/>
      <c r="F766" s="12">
        <f>SUM(F767+F769)</f>
        <v>390.04</v>
      </c>
      <c r="G766" s="12">
        <f t="shared" ref="G766:H766" si="438">SUM(G767+G769)</f>
        <v>350</v>
      </c>
      <c r="H766" s="12">
        <f t="shared" si="438"/>
        <v>350</v>
      </c>
    </row>
    <row r="767" spans="1:8" x14ac:dyDescent="0.25">
      <c r="A767" s="19">
        <f t="shared" si="412"/>
        <v>756</v>
      </c>
      <c r="B767" s="10" t="s">
        <v>633</v>
      </c>
      <c r="C767" s="11" t="s">
        <v>632</v>
      </c>
      <c r="D767" s="11" t="s">
        <v>634</v>
      </c>
      <c r="E767" s="11"/>
      <c r="F767" s="12">
        <f>SUM(F768)</f>
        <v>310.04000000000002</v>
      </c>
      <c r="G767" s="12">
        <f t="shared" ref="G767:H767" si="439">SUM(G768)</f>
        <v>270</v>
      </c>
      <c r="H767" s="12">
        <f t="shared" si="439"/>
        <v>270</v>
      </c>
    </row>
    <row r="768" spans="1:8" ht="54" x14ac:dyDescent="0.25">
      <c r="A768" s="19">
        <f t="shared" si="412"/>
        <v>757</v>
      </c>
      <c r="B768" s="10" t="s">
        <v>28</v>
      </c>
      <c r="C768" s="11" t="s">
        <v>632</v>
      </c>
      <c r="D768" s="11" t="s">
        <v>634</v>
      </c>
      <c r="E768" s="11" t="s">
        <v>29</v>
      </c>
      <c r="F768" s="12">
        <f>350-39.96</f>
        <v>310.04000000000002</v>
      </c>
      <c r="G768" s="12">
        <v>270</v>
      </c>
      <c r="H768" s="12">
        <v>270</v>
      </c>
    </row>
    <row r="769" spans="1:8" ht="72" x14ac:dyDescent="0.25">
      <c r="A769" s="19">
        <f t="shared" si="412"/>
        <v>758</v>
      </c>
      <c r="B769" s="10" t="s">
        <v>635</v>
      </c>
      <c r="C769" s="11" t="s">
        <v>632</v>
      </c>
      <c r="D769" s="11" t="s">
        <v>636</v>
      </c>
      <c r="E769" s="11"/>
      <c r="F769" s="12">
        <f>SUM(F770)</f>
        <v>80</v>
      </c>
      <c r="G769" s="12">
        <f t="shared" ref="G769:H769" si="440">SUM(G770)</f>
        <v>80</v>
      </c>
      <c r="H769" s="12">
        <f t="shared" si="440"/>
        <v>80</v>
      </c>
    </row>
    <row r="770" spans="1:8" ht="54" x14ac:dyDescent="0.25">
      <c r="A770" s="19">
        <f t="shared" si="412"/>
        <v>759</v>
      </c>
      <c r="B770" s="10" t="s">
        <v>28</v>
      </c>
      <c r="C770" s="11" t="s">
        <v>632</v>
      </c>
      <c r="D770" s="11" t="s">
        <v>636</v>
      </c>
      <c r="E770" s="11" t="s">
        <v>29</v>
      </c>
      <c r="F770" s="12">
        <v>80</v>
      </c>
      <c r="G770" s="12">
        <v>80</v>
      </c>
      <c r="H770" s="12">
        <v>80</v>
      </c>
    </row>
    <row r="771" spans="1:8" x14ac:dyDescent="0.25">
      <c r="A771" s="18">
        <f t="shared" si="412"/>
        <v>760</v>
      </c>
      <c r="B771" s="14" t="s">
        <v>637</v>
      </c>
      <c r="C771" s="15" t="s">
        <v>638</v>
      </c>
      <c r="D771" s="15"/>
      <c r="E771" s="15"/>
      <c r="F771" s="16">
        <f>SUM(F772+F778+F783+F809+F825)</f>
        <v>154099.81999999998</v>
      </c>
      <c r="G771" s="16">
        <f t="shared" ref="G771:H771" si="441">SUM(G772+G778+G783+G809+G825)</f>
        <v>155836.02999999997</v>
      </c>
      <c r="H771" s="16">
        <f t="shared" si="441"/>
        <v>160547.83000000002</v>
      </c>
    </row>
    <row r="772" spans="1:8" x14ac:dyDescent="0.25">
      <c r="A772" s="18">
        <f t="shared" si="412"/>
        <v>761</v>
      </c>
      <c r="B772" s="14" t="s">
        <v>639</v>
      </c>
      <c r="C772" s="15" t="s">
        <v>640</v>
      </c>
      <c r="D772" s="15"/>
      <c r="E772" s="15"/>
      <c r="F772" s="16">
        <f>SUM(F773)</f>
        <v>12783.12</v>
      </c>
      <c r="G772" s="16">
        <f t="shared" ref="G772:H772" si="442">SUM(G773)</f>
        <v>13281.960000000001</v>
      </c>
      <c r="H772" s="16">
        <f t="shared" si="442"/>
        <v>14269.68</v>
      </c>
    </row>
    <row r="773" spans="1:8" ht="72" x14ac:dyDescent="0.25">
      <c r="A773" s="19">
        <f t="shared" si="412"/>
        <v>762</v>
      </c>
      <c r="B773" s="10" t="s">
        <v>641</v>
      </c>
      <c r="C773" s="11" t="s">
        <v>640</v>
      </c>
      <c r="D773" s="11" t="s">
        <v>642</v>
      </c>
      <c r="E773" s="11"/>
      <c r="F773" s="12">
        <f>SUM(F774)</f>
        <v>12783.12</v>
      </c>
      <c r="G773" s="12">
        <f t="shared" ref="G773:H773" si="443">SUM(G774)</f>
        <v>13281.960000000001</v>
      </c>
      <c r="H773" s="12">
        <f t="shared" si="443"/>
        <v>14269.68</v>
      </c>
    </row>
    <row r="774" spans="1:8" ht="72" x14ac:dyDescent="0.25">
      <c r="A774" s="19">
        <f t="shared" si="416"/>
        <v>763</v>
      </c>
      <c r="B774" s="10" t="s">
        <v>643</v>
      </c>
      <c r="C774" s="11" t="s">
        <v>640</v>
      </c>
      <c r="D774" s="11" t="s">
        <v>644</v>
      </c>
      <c r="E774" s="11"/>
      <c r="F774" s="12">
        <f>SUM(F775)</f>
        <v>12783.12</v>
      </c>
      <c r="G774" s="12">
        <f t="shared" ref="G774:H774" si="444">SUM(G775)</f>
        <v>13281.960000000001</v>
      </c>
      <c r="H774" s="12">
        <f t="shared" si="444"/>
        <v>14269.68</v>
      </c>
    </row>
    <row r="775" spans="1:8" ht="54" x14ac:dyDescent="0.25">
      <c r="A775" s="19">
        <f t="shared" si="416"/>
        <v>764</v>
      </c>
      <c r="B775" s="10" t="s">
        <v>645</v>
      </c>
      <c r="C775" s="11" t="s">
        <v>640</v>
      </c>
      <c r="D775" s="11" t="s">
        <v>646</v>
      </c>
      <c r="E775" s="11"/>
      <c r="F775" s="12">
        <f>SUM(F776:F777)</f>
        <v>12783.12</v>
      </c>
      <c r="G775" s="12">
        <f t="shared" ref="G775:H775" si="445">SUM(G776:G777)</f>
        <v>13281.960000000001</v>
      </c>
      <c r="H775" s="12">
        <f t="shared" si="445"/>
        <v>14269.68</v>
      </c>
    </row>
    <row r="776" spans="1:8" ht="54" x14ac:dyDescent="0.25">
      <c r="A776" s="19">
        <f t="shared" si="416"/>
        <v>765</v>
      </c>
      <c r="B776" s="10" t="s">
        <v>28</v>
      </c>
      <c r="C776" s="11" t="s">
        <v>640</v>
      </c>
      <c r="D776" s="11" t="s">
        <v>646</v>
      </c>
      <c r="E776" s="11" t="s">
        <v>29</v>
      </c>
      <c r="F776" s="12">
        <v>24</v>
      </c>
      <c r="G776" s="12">
        <v>24</v>
      </c>
      <c r="H776" s="12">
        <v>24</v>
      </c>
    </row>
    <row r="777" spans="1:8" ht="54" x14ac:dyDescent="0.25">
      <c r="A777" s="19">
        <f t="shared" si="416"/>
        <v>766</v>
      </c>
      <c r="B777" s="10" t="s">
        <v>647</v>
      </c>
      <c r="C777" s="11" t="s">
        <v>640</v>
      </c>
      <c r="D777" s="11" t="s">
        <v>646</v>
      </c>
      <c r="E777" s="11" t="s">
        <v>648</v>
      </c>
      <c r="F777" s="12">
        <f>12959.12-200</f>
        <v>12759.12</v>
      </c>
      <c r="G777" s="12">
        <f>13697.77-439.81</f>
        <v>13257.960000000001</v>
      </c>
      <c r="H777" s="12">
        <v>14245.68</v>
      </c>
    </row>
    <row r="778" spans="1:8" x14ac:dyDescent="0.25">
      <c r="A778" s="18">
        <f t="shared" si="416"/>
        <v>767</v>
      </c>
      <c r="B778" s="14" t="s">
        <v>649</v>
      </c>
      <c r="C778" s="15" t="s">
        <v>650</v>
      </c>
      <c r="D778" s="15"/>
      <c r="E778" s="15"/>
      <c r="F778" s="16">
        <f>SUM(F779)</f>
        <v>4514.3999999999996</v>
      </c>
      <c r="G778" s="16">
        <f t="shared" ref="G778:H778" si="446">SUM(G779)</f>
        <v>4583.78</v>
      </c>
      <c r="H778" s="16">
        <f t="shared" si="446"/>
        <v>4726.09</v>
      </c>
    </row>
    <row r="779" spans="1:8" ht="72" x14ac:dyDescent="0.25">
      <c r="A779" s="19">
        <f t="shared" si="416"/>
        <v>768</v>
      </c>
      <c r="B779" s="10" t="s">
        <v>198</v>
      </c>
      <c r="C779" s="11" t="s">
        <v>650</v>
      </c>
      <c r="D779" s="11" t="s">
        <v>199</v>
      </c>
      <c r="E779" s="11"/>
      <c r="F779" s="12">
        <f>SUM(F780)</f>
        <v>4514.3999999999996</v>
      </c>
      <c r="G779" s="12">
        <f t="shared" ref="G779:H779" si="447">SUM(G780)</f>
        <v>4583.78</v>
      </c>
      <c r="H779" s="12">
        <f t="shared" si="447"/>
        <v>4726.09</v>
      </c>
    </row>
    <row r="780" spans="1:8" ht="72" x14ac:dyDescent="0.25">
      <c r="A780" s="19">
        <f t="shared" si="416"/>
        <v>769</v>
      </c>
      <c r="B780" s="10" t="s">
        <v>651</v>
      </c>
      <c r="C780" s="11" t="s">
        <v>650</v>
      </c>
      <c r="D780" s="11" t="s">
        <v>652</v>
      </c>
      <c r="E780" s="11"/>
      <c r="F780" s="12">
        <f>SUM(F781)</f>
        <v>4514.3999999999996</v>
      </c>
      <c r="G780" s="12">
        <f t="shared" ref="G780:H780" si="448">SUM(G781)</f>
        <v>4583.78</v>
      </c>
      <c r="H780" s="12">
        <f t="shared" si="448"/>
        <v>4726.09</v>
      </c>
    </row>
    <row r="781" spans="1:8" ht="54" x14ac:dyDescent="0.25">
      <c r="A781" s="19">
        <f t="shared" si="416"/>
        <v>770</v>
      </c>
      <c r="B781" s="10" t="s">
        <v>653</v>
      </c>
      <c r="C781" s="11" t="s">
        <v>650</v>
      </c>
      <c r="D781" s="11" t="s">
        <v>654</v>
      </c>
      <c r="E781" s="11"/>
      <c r="F781" s="12">
        <f>SUM(F782)</f>
        <v>4514.3999999999996</v>
      </c>
      <c r="G781" s="12">
        <f t="shared" ref="G781:H781" si="449">SUM(G782)</f>
        <v>4583.78</v>
      </c>
      <c r="H781" s="12">
        <f t="shared" si="449"/>
        <v>4726.09</v>
      </c>
    </row>
    <row r="782" spans="1:8" x14ac:dyDescent="0.25">
      <c r="A782" s="19">
        <f t="shared" si="416"/>
        <v>771</v>
      </c>
      <c r="B782" s="10" t="s">
        <v>137</v>
      </c>
      <c r="C782" s="11" t="s">
        <v>650</v>
      </c>
      <c r="D782" s="11" t="s">
        <v>654</v>
      </c>
      <c r="E782" s="11" t="s">
        <v>138</v>
      </c>
      <c r="F782" s="12">
        <v>4514.3999999999996</v>
      </c>
      <c r="G782" s="12">
        <v>4583.78</v>
      </c>
      <c r="H782" s="12">
        <v>4726.09</v>
      </c>
    </row>
    <row r="783" spans="1:8" x14ac:dyDescent="0.25">
      <c r="A783" s="18">
        <f t="shared" si="416"/>
        <v>772</v>
      </c>
      <c r="B783" s="14" t="s">
        <v>655</v>
      </c>
      <c r="C783" s="15" t="s">
        <v>656</v>
      </c>
      <c r="D783" s="15"/>
      <c r="E783" s="15"/>
      <c r="F783" s="16">
        <f>SUM(F784+F803)</f>
        <v>123197.45000000001</v>
      </c>
      <c r="G783" s="16">
        <f t="shared" ref="G783:H783" si="450">SUM(G784+G803)</f>
        <v>126543.27999999998</v>
      </c>
      <c r="H783" s="16">
        <f t="shared" si="450"/>
        <v>130944.09999999999</v>
      </c>
    </row>
    <row r="784" spans="1:8" ht="72" x14ac:dyDescent="0.25">
      <c r="A784" s="19">
        <f t="shared" si="416"/>
        <v>773</v>
      </c>
      <c r="B784" s="10" t="s">
        <v>641</v>
      </c>
      <c r="C784" s="11" t="s">
        <v>656</v>
      </c>
      <c r="D784" s="11" t="s">
        <v>642</v>
      </c>
      <c r="E784" s="11"/>
      <c r="F784" s="12">
        <f>SUM(F785+F791)</f>
        <v>122247.85</v>
      </c>
      <c r="G784" s="12">
        <f t="shared" ref="G784:H784" si="451">SUM(G785+G791)</f>
        <v>126468.19999999998</v>
      </c>
      <c r="H784" s="12">
        <f t="shared" si="451"/>
        <v>130944.09999999999</v>
      </c>
    </row>
    <row r="785" spans="1:8" ht="72" x14ac:dyDescent="0.25">
      <c r="A785" s="19">
        <f t="shared" si="416"/>
        <v>774</v>
      </c>
      <c r="B785" s="10" t="s">
        <v>643</v>
      </c>
      <c r="C785" s="11" t="s">
        <v>656</v>
      </c>
      <c r="D785" s="11" t="s">
        <v>644</v>
      </c>
      <c r="E785" s="11"/>
      <c r="F785" s="12">
        <f>SUM(F786+F788)</f>
        <v>1655.5</v>
      </c>
      <c r="G785" s="12">
        <f t="shared" ref="G785:H785" si="452">SUM(G786+G788)</f>
        <v>1732.5</v>
      </c>
      <c r="H785" s="12">
        <f t="shared" si="452"/>
        <v>1804.5</v>
      </c>
    </row>
    <row r="786" spans="1:8" ht="54" x14ac:dyDescent="0.25">
      <c r="A786" s="19">
        <f t="shared" si="416"/>
        <v>775</v>
      </c>
      <c r="B786" s="10" t="s">
        <v>657</v>
      </c>
      <c r="C786" s="11" t="s">
        <v>656</v>
      </c>
      <c r="D786" s="11" t="s">
        <v>658</v>
      </c>
      <c r="E786" s="11"/>
      <c r="F786" s="12">
        <f>SUM(F787)</f>
        <v>1095</v>
      </c>
      <c r="G786" s="12">
        <f t="shared" ref="G786:H786" si="453">SUM(G787)</f>
        <v>1100</v>
      </c>
      <c r="H786" s="12">
        <f t="shared" si="453"/>
        <v>1100</v>
      </c>
    </row>
    <row r="787" spans="1:8" ht="36" x14ac:dyDescent="0.25">
      <c r="A787" s="19">
        <f t="shared" si="416"/>
        <v>776</v>
      </c>
      <c r="B787" s="10" t="s">
        <v>659</v>
      </c>
      <c r="C787" s="11" t="s">
        <v>656</v>
      </c>
      <c r="D787" s="11" t="s">
        <v>658</v>
      </c>
      <c r="E787" s="11" t="s">
        <v>660</v>
      </c>
      <c r="F787" s="12">
        <v>1095</v>
      </c>
      <c r="G787" s="12">
        <v>1100</v>
      </c>
      <c r="H787" s="12">
        <v>1100</v>
      </c>
    </row>
    <row r="788" spans="1:8" ht="72" x14ac:dyDescent="0.25">
      <c r="A788" s="19">
        <f t="shared" si="416"/>
        <v>777</v>
      </c>
      <c r="B788" s="10" t="s">
        <v>661</v>
      </c>
      <c r="C788" s="11" t="s">
        <v>656</v>
      </c>
      <c r="D788" s="11" t="s">
        <v>662</v>
      </c>
      <c r="E788" s="11"/>
      <c r="F788" s="12">
        <f>SUM(F789:F790)</f>
        <v>560.5</v>
      </c>
      <c r="G788" s="12">
        <f t="shared" ref="G788:H788" si="454">SUM(G789:G790)</f>
        <v>632.5</v>
      </c>
      <c r="H788" s="12">
        <f t="shared" si="454"/>
        <v>704.5</v>
      </c>
    </row>
    <row r="789" spans="1:8" ht="54" x14ac:dyDescent="0.25">
      <c r="A789" s="19">
        <f t="shared" ref="A789:A839" si="455">SUM(A788+1)</f>
        <v>778</v>
      </c>
      <c r="B789" s="10" t="s">
        <v>28</v>
      </c>
      <c r="C789" s="11" t="s">
        <v>656</v>
      </c>
      <c r="D789" s="11" t="s">
        <v>662</v>
      </c>
      <c r="E789" s="11" t="s">
        <v>29</v>
      </c>
      <c r="F789" s="12">
        <v>2.5</v>
      </c>
      <c r="G789" s="12">
        <v>2.5</v>
      </c>
      <c r="H789" s="12">
        <v>2.5</v>
      </c>
    </row>
    <row r="790" spans="1:8" ht="36" x14ac:dyDescent="0.25">
      <c r="A790" s="19">
        <f t="shared" si="455"/>
        <v>779</v>
      </c>
      <c r="B790" s="10" t="s">
        <v>659</v>
      </c>
      <c r="C790" s="11" t="s">
        <v>656</v>
      </c>
      <c r="D790" s="11" t="s">
        <v>662</v>
      </c>
      <c r="E790" s="11" t="s">
        <v>660</v>
      </c>
      <c r="F790" s="12">
        <v>558</v>
      </c>
      <c r="G790" s="12">
        <v>630</v>
      </c>
      <c r="H790" s="12">
        <v>702</v>
      </c>
    </row>
    <row r="791" spans="1:8" ht="54" x14ac:dyDescent="0.25">
      <c r="A791" s="19">
        <f t="shared" si="455"/>
        <v>780</v>
      </c>
      <c r="B791" s="10" t="s">
        <v>663</v>
      </c>
      <c r="C791" s="11" t="s">
        <v>656</v>
      </c>
      <c r="D791" s="11" t="s">
        <v>664</v>
      </c>
      <c r="E791" s="11"/>
      <c r="F791" s="12">
        <f>SUM(F792+F795+F798+F801)</f>
        <v>120592.35</v>
      </c>
      <c r="G791" s="12">
        <f t="shared" ref="G791:H791" si="456">SUM(G792+G795+G798+G801)</f>
        <v>124735.69999999998</v>
      </c>
      <c r="H791" s="12">
        <f t="shared" si="456"/>
        <v>129139.59999999999</v>
      </c>
    </row>
    <row r="792" spans="1:8" ht="234" x14ac:dyDescent="0.25">
      <c r="A792" s="19">
        <f t="shared" si="455"/>
        <v>781</v>
      </c>
      <c r="B792" s="10" t="s">
        <v>665</v>
      </c>
      <c r="C792" s="11" t="s">
        <v>656</v>
      </c>
      <c r="D792" s="11" t="s">
        <v>666</v>
      </c>
      <c r="E792" s="11"/>
      <c r="F792" s="12">
        <f>SUM(F793:F794)</f>
        <v>16388</v>
      </c>
      <c r="G792" s="12">
        <f t="shared" ref="G792:H792" si="457">SUM(G793:G794)</f>
        <v>17084.900000000001</v>
      </c>
      <c r="H792" s="12">
        <f t="shared" si="457"/>
        <v>17809.7</v>
      </c>
    </row>
    <row r="793" spans="1:8" ht="54" x14ac:dyDescent="0.25">
      <c r="A793" s="19">
        <f t="shared" si="455"/>
        <v>782</v>
      </c>
      <c r="B793" s="10" t="s">
        <v>28</v>
      </c>
      <c r="C793" s="11" t="s">
        <v>656</v>
      </c>
      <c r="D793" s="11" t="s">
        <v>666</v>
      </c>
      <c r="E793" s="11" t="s">
        <v>29</v>
      </c>
      <c r="F793" s="12">
        <v>165</v>
      </c>
      <c r="G793" s="12">
        <v>165</v>
      </c>
      <c r="H793" s="12">
        <v>165</v>
      </c>
    </row>
    <row r="794" spans="1:8" ht="54" x14ac:dyDescent="0.25">
      <c r="A794" s="19">
        <f t="shared" si="455"/>
        <v>783</v>
      </c>
      <c r="B794" s="10" t="s">
        <v>647</v>
      </c>
      <c r="C794" s="11" t="s">
        <v>656</v>
      </c>
      <c r="D794" s="11" t="s">
        <v>666</v>
      </c>
      <c r="E794" s="11" t="s">
        <v>648</v>
      </c>
      <c r="F794" s="12">
        <v>16223</v>
      </c>
      <c r="G794" s="12">
        <v>16919.900000000001</v>
      </c>
      <c r="H794" s="12">
        <v>17644.7</v>
      </c>
    </row>
    <row r="795" spans="1:8" ht="252" x14ac:dyDescent="0.25">
      <c r="A795" s="19">
        <f t="shared" si="455"/>
        <v>784</v>
      </c>
      <c r="B795" s="10" t="s">
        <v>667</v>
      </c>
      <c r="C795" s="11" t="s">
        <v>656</v>
      </c>
      <c r="D795" s="11" t="s">
        <v>668</v>
      </c>
      <c r="E795" s="11"/>
      <c r="F795" s="12">
        <f>SUM(F796:F797)</f>
        <v>86878.25</v>
      </c>
      <c r="G795" s="12">
        <f t="shared" ref="G795:H795" si="458">SUM(G796:G797)</f>
        <v>90734.399999999994</v>
      </c>
      <c r="H795" s="12">
        <f t="shared" si="458"/>
        <v>94438.3</v>
      </c>
    </row>
    <row r="796" spans="1:8" ht="54" x14ac:dyDescent="0.25">
      <c r="A796" s="19">
        <f t="shared" ref="A796:A854" si="459">SUM(A795+1)</f>
        <v>785</v>
      </c>
      <c r="B796" s="10" t="s">
        <v>28</v>
      </c>
      <c r="C796" s="11" t="s">
        <v>656</v>
      </c>
      <c r="D796" s="11" t="s">
        <v>668</v>
      </c>
      <c r="E796" s="11" t="s">
        <v>29</v>
      </c>
      <c r="F796" s="12">
        <v>1120</v>
      </c>
      <c r="G796" s="12">
        <v>1150</v>
      </c>
      <c r="H796" s="12">
        <v>1210</v>
      </c>
    </row>
    <row r="797" spans="1:8" ht="54" x14ac:dyDescent="0.25">
      <c r="A797" s="19">
        <f t="shared" si="459"/>
        <v>786</v>
      </c>
      <c r="B797" s="10" t="s">
        <v>647</v>
      </c>
      <c r="C797" s="11" t="s">
        <v>656</v>
      </c>
      <c r="D797" s="11" t="s">
        <v>668</v>
      </c>
      <c r="E797" s="11" t="s">
        <v>648</v>
      </c>
      <c r="F797" s="12">
        <v>85758.25</v>
      </c>
      <c r="G797" s="12">
        <v>89584.4</v>
      </c>
      <c r="H797" s="12">
        <v>93228.3</v>
      </c>
    </row>
    <row r="798" spans="1:8" ht="252" x14ac:dyDescent="0.25">
      <c r="A798" s="19">
        <f t="shared" si="459"/>
        <v>787</v>
      </c>
      <c r="B798" s="10" t="s">
        <v>669</v>
      </c>
      <c r="C798" s="11" t="s">
        <v>656</v>
      </c>
      <c r="D798" s="11" t="s">
        <v>670</v>
      </c>
      <c r="E798" s="11"/>
      <c r="F798" s="12">
        <f>SUM(F799:F800)</f>
        <v>17117.5</v>
      </c>
      <c r="G798" s="12">
        <f t="shared" ref="G798:H798" si="460">SUM(G799:G800)</f>
        <v>16693.7</v>
      </c>
      <c r="H798" s="12">
        <f t="shared" si="460"/>
        <v>16637.900000000001</v>
      </c>
    </row>
    <row r="799" spans="1:8" ht="54" x14ac:dyDescent="0.25">
      <c r="A799" s="19">
        <f t="shared" si="459"/>
        <v>788</v>
      </c>
      <c r="B799" s="10" t="s">
        <v>28</v>
      </c>
      <c r="C799" s="11" t="s">
        <v>656</v>
      </c>
      <c r="D799" s="11" t="s">
        <v>670</v>
      </c>
      <c r="E799" s="11" t="s">
        <v>29</v>
      </c>
      <c r="F799" s="12">
        <f>230+9</f>
        <v>239</v>
      </c>
      <c r="G799" s="12">
        <v>240</v>
      </c>
      <c r="H799" s="12">
        <v>230</v>
      </c>
    </row>
    <row r="800" spans="1:8" ht="54" x14ac:dyDescent="0.25">
      <c r="A800" s="19">
        <f t="shared" si="459"/>
        <v>789</v>
      </c>
      <c r="B800" s="10" t="s">
        <v>647</v>
      </c>
      <c r="C800" s="11" t="s">
        <v>656</v>
      </c>
      <c r="D800" s="11" t="s">
        <v>670</v>
      </c>
      <c r="E800" s="11" t="s">
        <v>648</v>
      </c>
      <c r="F800" s="12">
        <f>16266.5+612</f>
        <v>16878.5</v>
      </c>
      <c r="G800" s="12">
        <v>16453.7</v>
      </c>
      <c r="H800" s="12">
        <v>16407.900000000001</v>
      </c>
    </row>
    <row r="801" spans="1:8" ht="270" x14ac:dyDescent="0.25">
      <c r="A801" s="19">
        <f t="shared" si="459"/>
        <v>790</v>
      </c>
      <c r="B801" s="10" t="s">
        <v>671</v>
      </c>
      <c r="C801" s="11" t="s">
        <v>656</v>
      </c>
      <c r="D801" s="11" t="s">
        <v>672</v>
      </c>
      <c r="E801" s="11"/>
      <c r="F801" s="12">
        <f>SUM(F802)</f>
        <v>208.6</v>
      </c>
      <c r="G801" s="12">
        <f t="shared" ref="G801:H801" si="461">SUM(G802)</f>
        <v>222.7</v>
      </c>
      <c r="H801" s="12">
        <f t="shared" si="461"/>
        <v>253.7</v>
      </c>
    </row>
    <row r="802" spans="1:8" ht="54" x14ac:dyDescent="0.25">
      <c r="A802" s="19">
        <f t="shared" si="459"/>
        <v>791</v>
      </c>
      <c r="B802" s="10" t="s">
        <v>647</v>
      </c>
      <c r="C802" s="11" t="s">
        <v>656</v>
      </c>
      <c r="D802" s="11" t="s">
        <v>672</v>
      </c>
      <c r="E802" s="11" t="s">
        <v>648</v>
      </c>
      <c r="F802" s="12">
        <v>208.6</v>
      </c>
      <c r="G802" s="12">
        <v>222.7</v>
      </c>
      <c r="H802" s="12">
        <v>253.7</v>
      </c>
    </row>
    <row r="803" spans="1:8" ht="72" x14ac:dyDescent="0.25">
      <c r="A803" s="19">
        <f t="shared" si="459"/>
        <v>792</v>
      </c>
      <c r="B803" s="10" t="s">
        <v>198</v>
      </c>
      <c r="C803" s="11" t="s">
        <v>656</v>
      </c>
      <c r="D803" s="11" t="s">
        <v>199</v>
      </c>
      <c r="E803" s="11"/>
      <c r="F803" s="12">
        <f>SUM(F804)</f>
        <v>949.6</v>
      </c>
      <c r="G803" s="12">
        <f t="shared" ref="G803:H803" si="462">SUM(G804)</f>
        <v>75.08</v>
      </c>
      <c r="H803" s="12">
        <f t="shared" si="462"/>
        <v>0</v>
      </c>
    </row>
    <row r="804" spans="1:8" ht="54" x14ac:dyDescent="0.25">
      <c r="A804" s="19">
        <f t="shared" si="459"/>
        <v>793</v>
      </c>
      <c r="B804" s="10" t="s">
        <v>673</v>
      </c>
      <c r="C804" s="11" t="s">
        <v>656</v>
      </c>
      <c r="D804" s="11" t="s">
        <v>674</v>
      </c>
      <c r="E804" s="11"/>
      <c r="F804" s="12">
        <f>SUM(F805+F807)</f>
        <v>949.6</v>
      </c>
      <c r="G804" s="12">
        <f t="shared" ref="G804:H804" si="463">SUM(G805+G807)</f>
        <v>75.08</v>
      </c>
      <c r="H804" s="12">
        <f t="shared" si="463"/>
        <v>0</v>
      </c>
    </row>
    <row r="805" spans="1:8" ht="72" x14ac:dyDescent="0.25">
      <c r="A805" s="19">
        <f t="shared" si="459"/>
        <v>794</v>
      </c>
      <c r="B805" s="10" t="s">
        <v>675</v>
      </c>
      <c r="C805" s="11" t="s">
        <v>656</v>
      </c>
      <c r="D805" s="11" t="s">
        <v>787</v>
      </c>
      <c r="E805" s="11"/>
      <c r="F805" s="12">
        <f>SUM(F806)</f>
        <v>949.6</v>
      </c>
      <c r="G805" s="12">
        <f t="shared" ref="G805:H805" si="464">SUM(G806)</f>
        <v>37.5</v>
      </c>
      <c r="H805" s="12">
        <f t="shared" si="464"/>
        <v>0</v>
      </c>
    </row>
    <row r="806" spans="1:8" ht="54" x14ac:dyDescent="0.25">
      <c r="A806" s="19">
        <f t="shared" si="459"/>
        <v>795</v>
      </c>
      <c r="B806" s="10" t="s">
        <v>647</v>
      </c>
      <c r="C806" s="11" t="s">
        <v>656</v>
      </c>
      <c r="D806" s="11" t="s">
        <v>787</v>
      </c>
      <c r="E806" s="11" t="s">
        <v>648</v>
      </c>
      <c r="F806" s="12">
        <v>949.6</v>
      </c>
      <c r="G806" s="12">
        <v>37.5</v>
      </c>
      <c r="H806" s="12">
        <v>0</v>
      </c>
    </row>
    <row r="807" spans="1:8" ht="54" x14ac:dyDescent="0.25">
      <c r="A807" s="19">
        <f t="shared" si="459"/>
        <v>796</v>
      </c>
      <c r="B807" s="10" t="s">
        <v>676</v>
      </c>
      <c r="C807" s="11" t="s">
        <v>656</v>
      </c>
      <c r="D807" s="11" t="s">
        <v>677</v>
      </c>
      <c r="E807" s="11"/>
      <c r="F807" s="12">
        <f>SUM(F808)</f>
        <v>0</v>
      </c>
      <c r="G807" s="12">
        <f t="shared" ref="G807:H807" si="465">SUM(G808)</f>
        <v>37.58</v>
      </c>
      <c r="H807" s="12">
        <f t="shared" si="465"/>
        <v>0</v>
      </c>
    </row>
    <row r="808" spans="1:8" ht="54" x14ac:dyDescent="0.25">
      <c r="A808" s="19">
        <f t="shared" si="459"/>
        <v>797</v>
      </c>
      <c r="B808" s="10" t="s">
        <v>647</v>
      </c>
      <c r="C808" s="11" t="s">
        <v>656</v>
      </c>
      <c r="D808" s="11" t="s">
        <v>677</v>
      </c>
      <c r="E808" s="11" t="s">
        <v>648</v>
      </c>
      <c r="F808" s="12">
        <f>47.8-47.8</f>
        <v>0</v>
      </c>
      <c r="G808" s="12">
        <v>37.58</v>
      </c>
      <c r="H808" s="12">
        <v>0</v>
      </c>
    </row>
    <row r="809" spans="1:8" x14ac:dyDescent="0.25">
      <c r="A809" s="18">
        <f t="shared" si="459"/>
        <v>798</v>
      </c>
      <c r="B809" s="14" t="s">
        <v>678</v>
      </c>
      <c r="C809" s="15" t="s">
        <v>679</v>
      </c>
      <c r="D809" s="15"/>
      <c r="E809" s="15"/>
      <c r="F809" s="16">
        <f>SUM(F810+F819)</f>
        <v>4852.8</v>
      </c>
      <c r="G809" s="16">
        <f t="shared" ref="G809:H809" si="466">SUM(G810+G819)</f>
        <v>2872.21</v>
      </c>
      <c r="H809" s="16">
        <f t="shared" si="466"/>
        <v>1885.76</v>
      </c>
    </row>
    <row r="810" spans="1:8" ht="108" x14ac:dyDescent="0.25">
      <c r="A810" s="19">
        <f t="shared" si="459"/>
        <v>799</v>
      </c>
      <c r="B810" s="10" t="s">
        <v>87</v>
      </c>
      <c r="C810" s="11" t="s">
        <v>679</v>
      </c>
      <c r="D810" s="11" t="s">
        <v>88</v>
      </c>
      <c r="E810" s="11"/>
      <c r="F810" s="12">
        <f>SUM(F811+F814)</f>
        <v>4193.1000000000004</v>
      </c>
      <c r="G810" s="12">
        <f t="shared" ref="G810:H810" si="467">SUM(G811+G814)</f>
        <v>2251.5100000000002</v>
      </c>
      <c r="H810" s="12">
        <f t="shared" si="467"/>
        <v>1237.06</v>
      </c>
    </row>
    <row r="811" spans="1:8" ht="72" x14ac:dyDescent="0.25">
      <c r="A811" s="19">
        <f t="shared" si="455"/>
        <v>800</v>
      </c>
      <c r="B811" s="10" t="s">
        <v>680</v>
      </c>
      <c r="C811" s="11" t="s">
        <v>679</v>
      </c>
      <c r="D811" s="11" t="s">
        <v>681</v>
      </c>
      <c r="E811" s="11"/>
      <c r="F811" s="12">
        <f>SUM(F812)</f>
        <v>3494.53</v>
      </c>
      <c r="G811" s="12">
        <f t="shared" ref="G811:H811" si="468">SUM(G812)</f>
        <v>1974.99</v>
      </c>
      <c r="H811" s="12">
        <f t="shared" si="468"/>
        <v>960.54</v>
      </c>
    </row>
    <row r="812" spans="1:8" ht="72" x14ac:dyDescent="0.25">
      <c r="A812" s="19">
        <f t="shared" si="455"/>
        <v>801</v>
      </c>
      <c r="B812" s="10" t="s">
        <v>682</v>
      </c>
      <c r="C812" s="11" t="s">
        <v>679</v>
      </c>
      <c r="D812" s="11" t="s">
        <v>683</v>
      </c>
      <c r="E812" s="11"/>
      <c r="F812" s="12">
        <f>SUM(F813)</f>
        <v>3494.53</v>
      </c>
      <c r="G812" s="12">
        <f t="shared" ref="G812:H812" si="469">SUM(G813)</f>
        <v>1974.99</v>
      </c>
      <c r="H812" s="12">
        <f t="shared" si="469"/>
        <v>960.54</v>
      </c>
    </row>
    <row r="813" spans="1:8" ht="54" x14ac:dyDescent="0.25">
      <c r="A813" s="19">
        <f t="shared" si="455"/>
        <v>802</v>
      </c>
      <c r="B813" s="10" t="s">
        <v>647</v>
      </c>
      <c r="C813" s="11" t="s">
        <v>679</v>
      </c>
      <c r="D813" s="11" t="s">
        <v>683</v>
      </c>
      <c r="E813" s="11" t="s">
        <v>648</v>
      </c>
      <c r="F813" s="12">
        <v>3494.53</v>
      </c>
      <c r="G813" s="12">
        <f>1135.18+839.81</f>
        <v>1974.99</v>
      </c>
      <c r="H813" s="12">
        <v>960.54</v>
      </c>
    </row>
    <row r="814" spans="1:8" ht="72" x14ac:dyDescent="0.25">
      <c r="A814" s="19">
        <f t="shared" si="455"/>
        <v>803</v>
      </c>
      <c r="B814" s="10" t="s">
        <v>684</v>
      </c>
      <c r="C814" s="11" t="s">
        <v>679</v>
      </c>
      <c r="D814" s="11" t="s">
        <v>685</v>
      </c>
      <c r="E814" s="11"/>
      <c r="F814" s="12">
        <f>SUM(F817+F815)</f>
        <v>698.56999999999994</v>
      </c>
      <c r="G814" s="12">
        <f t="shared" ref="G814:H814" si="470">SUM(G817+G815)</f>
        <v>276.52</v>
      </c>
      <c r="H814" s="12">
        <f t="shared" si="470"/>
        <v>276.52</v>
      </c>
    </row>
    <row r="815" spans="1:8" ht="54" x14ac:dyDescent="0.25">
      <c r="A815" s="19">
        <f t="shared" si="455"/>
        <v>804</v>
      </c>
      <c r="B815" s="10" t="s">
        <v>789</v>
      </c>
      <c r="C815" s="11" t="s">
        <v>679</v>
      </c>
      <c r="D815" s="24" t="s">
        <v>788</v>
      </c>
      <c r="E815" s="11"/>
      <c r="F815" s="12">
        <f>SUM(F816)</f>
        <v>358.9</v>
      </c>
      <c r="G815" s="12">
        <f t="shared" ref="G815:H815" si="471">SUM(G816)</f>
        <v>0</v>
      </c>
      <c r="H815" s="12">
        <f t="shared" si="471"/>
        <v>0</v>
      </c>
    </row>
    <row r="816" spans="1:8" ht="54" x14ac:dyDescent="0.25">
      <c r="A816" s="19">
        <f t="shared" si="455"/>
        <v>805</v>
      </c>
      <c r="B816" s="10" t="s">
        <v>647</v>
      </c>
      <c r="C816" s="11" t="s">
        <v>679</v>
      </c>
      <c r="D816" s="24" t="s">
        <v>788</v>
      </c>
      <c r="E816" s="11" t="s">
        <v>648</v>
      </c>
      <c r="F816" s="12">
        <v>358.9</v>
      </c>
      <c r="G816" s="12">
        <v>0</v>
      </c>
      <c r="H816" s="12">
        <v>0</v>
      </c>
    </row>
    <row r="817" spans="1:8" ht="54" x14ac:dyDescent="0.25">
      <c r="A817" s="19">
        <f t="shared" si="455"/>
        <v>806</v>
      </c>
      <c r="B817" s="10" t="s">
        <v>686</v>
      </c>
      <c r="C817" s="11" t="s">
        <v>679</v>
      </c>
      <c r="D817" s="11" t="s">
        <v>687</v>
      </c>
      <c r="E817" s="11"/>
      <c r="F817" s="12">
        <f>SUM(F818)</f>
        <v>339.67</v>
      </c>
      <c r="G817" s="12">
        <f t="shared" ref="G817:H817" si="472">SUM(G818)</f>
        <v>276.52</v>
      </c>
      <c r="H817" s="12">
        <f t="shared" si="472"/>
        <v>276.52</v>
      </c>
    </row>
    <row r="818" spans="1:8" ht="54" x14ac:dyDescent="0.25">
      <c r="A818" s="19">
        <f t="shared" si="459"/>
        <v>807</v>
      </c>
      <c r="B818" s="10" t="s">
        <v>647</v>
      </c>
      <c r="C818" s="11" t="s">
        <v>679</v>
      </c>
      <c r="D818" s="11" t="s">
        <v>687</v>
      </c>
      <c r="E818" s="11" t="s">
        <v>648</v>
      </c>
      <c r="F818" s="12">
        <v>339.67</v>
      </c>
      <c r="G818" s="12">
        <v>276.52</v>
      </c>
      <c r="H818" s="12">
        <v>276.52</v>
      </c>
    </row>
    <row r="819" spans="1:8" ht="54" x14ac:dyDescent="0.25">
      <c r="A819" s="19">
        <f t="shared" si="459"/>
        <v>808</v>
      </c>
      <c r="B819" s="10" t="s">
        <v>469</v>
      </c>
      <c r="C819" s="11" t="s">
        <v>679</v>
      </c>
      <c r="D819" s="11" t="s">
        <v>470</v>
      </c>
      <c r="E819" s="11"/>
      <c r="F819" s="12">
        <f>SUM(F820)</f>
        <v>659.69999999999993</v>
      </c>
      <c r="G819" s="12">
        <f t="shared" ref="G819:H819" si="473">SUM(G820)</f>
        <v>620.70000000000005</v>
      </c>
      <c r="H819" s="12">
        <f t="shared" si="473"/>
        <v>648.70000000000005</v>
      </c>
    </row>
    <row r="820" spans="1:8" ht="54" x14ac:dyDescent="0.25">
      <c r="A820" s="19">
        <f t="shared" si="459"/>
        <v>809</v>
      </c>
      <c r="B820" s="10" t="s">
        <v>488</v>
      </c>
      <c r="C820" s="11" t="s">
        <v>679</v>
      </c>
      <c r="D820" s="11" t="s">
        <v>489</v>
      </c>
      <c r="E820" s="11"/>
      <c r="F820" s="12">
        <f>SUM(F823+F821)</f>
        <v>659.69999999999993</v>
      </c>
      <c r="G820" s="12">
        <f t="shared" ref="G820:H820" si="474">SUM(G823+G821)</f>
        <v>620.70000000000005</v>
      </c>
      <c r="H820" s="12">
        <f t="shared" si="474"/>
        <v>648.70000000000005</v>
      </c>
    </row>
    <row r="821" spans="1:8" ht="126" x14ac:dyDescent="0.25">
      <c r="A821" s="19">
        <f t="shared" si="459"/>
        <v>810</v>
      </c>
      <c r="B821" s="10" t="s">
        <v>813</v>
      </c>
      <c r="C821" s="11" t="s">
        <v>679</v>
      </c>
      <c r="D821" s="24" t="s">
        <v>812</v>
      </c>
      <c r="E821" s="11"/>
      <c r="F821" s="12">
        <f>SUM(F822)</f>
        <v>65.400000000000006</v>
      </c>
      <c r="G821" s="12">
        <f t="shared" ref="G821:H821" si="475">SUM(G822)</f>
        <v>0</v>
      </c>
      <c r="H821" s="12">
        <f t="shared" si="475"/>
        <v>0</v>
      </c>
    </row>
    <row r="822" spans="1:8" ht="41.25" customHeight="1" x14ac:dyDescent="0.25">
      <c r="A822" s="19">
        <f t="shared" si="459"/>
        <v>811</v>
      </c>
      <c r="B822" s="10" t="s">
        <v>647</v>
      </c>
      <c r="C822" s="11" t="s">
        <v>679</v>
      </c>
      <c r="D822" s="24" t="s">
        <v>812</v>
      </c>
      <c r="E822" s="11">
        <v>320</v>
      </c>
      <c r="F822" s="12">
        <v>65.400000000000006</v>
      </c>
      <c r="G822" s="12">
        <v>0</v>
      </c>
      <c r="H822" s="12">
        <v>0</v>
      </c>
    </row>
    <row r="823" spans="1:8" ht="72" x14ac:dyDescent="0.25">
      <c r="A823" s="19">
        <f t="shared" si="459"/>
        <v>812</v>
      </c>
      <c r="B823" s="10" t="s">
        <v>494</v>
      </c>
      <c r="C823" s="11" t="s">
        <v>679</v>
      </c>
      <c r="D823" s="11" t="s">
        <v>495</v>
      </c>
      <c r="E823" s="11"/>
      <c r="F823" s="12">
        <f>SUM(F824)</f>
        <v>594.29999999999995</v>
      </c>
      <c r="G823" s="12">
        <f t="shared" ref="G823:H823" si="476">SUM(G824)</f>
        <v>620.70000000000005</v>
      </c>
      <c r="H823" s="12">
        <f t="shared" si="476"/>
        <v>648.70000000000005</v>
      </c>
    </row>
    <row r="824" spans="1:8" ht="37.5" customHeight="1" x14ac:dyDescent="0.25">
      <c r="A824" s="19">
        <f t="shared" si="459"/>
        <v>813</v>
      </c>
      <c r="B824" s="10" t="s">
        <v>647</v>
      </c>
      <c r="C824" s="11" t="s">
        <v>679</v>
      </c>
      <c r="D824" s="11" t="s">
        <v>495</v>
      </c>
      <c r="E824" s="11" t="s">
        <v>648</v>
      </c>
      <c r="F824" s="12">
        <v>594.29999999999995</v>
      </c>
      <c r="G824" s="12">
        <v>620.70000000000005</v>
      </c>
      <c r="H824" s="12">
        <v>648.70000000000005</v>
      </c>
    </row>
    <row r="825" spans="1:8" ht="36" x14ac:dyDescent="0.25">
      <c r="A825" s="18">
        <f t="shared" si="459"/>
        <v>814</v>
      </c>
      <c r="B825" s="14" t="s">
        <v>688</v>
      </c>
      <c r="C825" s="15" t="s">
        <v>689</v>
      </c>
      <c r="D825" s="15"/>
      <c r="E825" s="15"/>
      <c r="F825" s="16">
        <f>SUM(F826+F841)</f>
        <v>8752.0499999999993</v>
      </c>
      <c r="G825" s="16">
        <f t="shared" ref="G825:H825" si="477">SUM(G826+G841)</f>
        <v>8554.7999999999993</v>
      </c>
      <c r="H825" s="16">
        <f t="shared" si="477"/>
        <v>8722.2000000000007</v>
      </c>
    </row>
    <row r="826" spans="1:8" ht="72" x14ac:dyDescent="0.25">
      <c r="A826" s="19">
        <f t="shared" si="459"/>
        <v>815</v>
      </c>
      <c r="B826" s="10" t="s">
        <v>641</v>
      </c>
      <c r="C826" s="11" t="s">
        <v>689</v>
      </c>
      <c r="D826" s="11" t="s">
        <v>642</v>
      </c>
      <c r="E826" s="11"/>
      <c r="F826" s="12">
        <f>SUM(F827+F834)</f>
        <v>7427.25</v>
      </c>
      <c r="G826" s="12">
        <f t="shared" ref="G826:H826" si="478">SUM(G827+G834)</f>
        <v>7268.5</v>
      </c>
      <c r="H826" s="12">
        <f t="shared" si="478"/>
        <v>7435.9000000000005</v>
      </c>
    </row>
    <row r="827" spans="1:8" ht="72" x14ac:dyDescent="0.25">
      <c r="A827" s="19">
        <f t="shared" si="459"/>
        <v>816</v>
      </c>
      <c r="B827" s="10" t="s">
        <v>643</v>
      </c>
      <c r="C827" s="11" t="s">
        <v>689</v>
      </c>
      <c r="D827" s="11" t="s">
        <v>644</v>
      </c>
      <c r="E827" s="11"/>
      <c r="F827" s="12">
        <f>SUM(F828+F830+F832)</f>
        <v>211</v>
      </c>
      <c r="G827" s="12">
        <f t="shared" ref="G827:H827" si="479">SUM(G828+G830+G832)</f>
        <v>186</v>
      </c>
      <c r="H827" s="12">
        <f t="shared" si="479"/>
        <v>186</v>
      </c>
    </row>
    <row r="828" spans="1:8" ht="72" x14ac:dyDescent="0.25">
      <c r="A828" s="19">
        <f t="shared" si="459"/>
        <v>817</v>
      </c>
      <c r="B828" s="10" t="s">
        <v>661</v>
      </c>
      <c r="C828" s="11" t="s">
        <v>689</v>
      </c>
      <c r="D828" s="11" t="s">
        <v>662</v>
      </c>
      <c r="E828" s="11"/>
      <c r="F828" s="12">
        <f>SUM(F829)</f>
        <v>25</v>
      </c>
      <c r="G828" s="12">
        <f t="shared" ref="G828:H828" si="480">SUM(G829)</f>
        <v>0</v>
      </c>
      <c r="H828" s="12">
        <f t="shared" si="480"/>
        <v>0</v>
      </c>
    </row>
    <row r="829" spans="1:8" x14ac:dyDescent="0.25">
      <c r="A829" s="19">
        <f t="shared" si="459"/>
        <v>818</v>
      </c>
      <c r="B829" s="10" t="s">
        <v>169</v>
      </c>
      <c r="C829" s="11" t="s">
        <v>689</v>
      </c>
      <c r="D829" s="11" t="s">
        <v>662</v>
      </c>
      <c r="E829" s="11" t="s">
        <v>170</v>
      </c>
      <c r="F829" s="12">
        <v>25</v>
      </c>
      <c r="G829" s="12">
        <v>0</v>
      </c>
      <c r="H829" s="12">
        <v>0</v>
      </c>
    </row>
    <row r="830" spans="1:8" ht="108" x14ac:dyDescent="0.25">
      <c r="A830" s="19">
        <f t="shared" si="459"/>
        <v>819</v>
      </c>
      <c r="B830" s="10" t="s">
        <v>690</v>
      </c>
      <c r="C830" s="11" t="s">
        <v>689</v>
      </c>
      <c r="D830" s="11" t="s">
        <v>691</v>
      </c>
      <c r="E830" s="11"/>
      <c r="F830" s="12">
        <f>SUM(F831)</f>
        <v>4</v>
      </c>
      <c r="G830" s="12">
        <f t="shared" ref="G830:H830" si="481">SUM(G831)</f>
        <v>4</v>
      </c>
      <c r="H830" s="12">
        <f t="shared" si="481"/>
        <v>4</v>
      </c>
    </row>
    <row r="831" spans="1:8" x14ac:dyDescent="0.25">
      <c r="A831" s="19">
        <f t="shared" si="459"/>
        <v>820</v>
      </c>
      <c r="B831" s="10" t="s">
        <v>204</v>
      </c>
      <c r="C831" s="11" t="s">
        <v>689</v>
      </c>
      <c r="D831" s="11" t="s">
        <v>691</v>
      </c>
      <c r="E831" s="11" t="s">
        <v>205</v>
      </c>
      <c r="F831" s="12">
        <v>4</v>
      </c>
      <c r="G831" s="12">
        <v>4</v>
      </c>
      <c r="H831" s="12">
        <v>4</v>
      </c>
    </row>
    <row r="832" spans="1:8" ht="72" x14ac:dyDescent="0.25">
      <c r="A832" s="19">
        <f t="shared" si="459"/>
        <v>821</v>
      </c>
      <c r="B832" s="10" t="s">
        <v>692</v>
      </c>
      <c r="C832" s="11" t="s">
        <v>689</v>
      </c>
      <c r="D832" s="11" t="s">
        <v>693</v>
      </c>
      <c r="E832" s="11"/>
      <c r="F832" s="12">
        <f>SUM(F833)</f>
        <v>182</v>
      </c>
      <c r="G832" s="12">
        <f t="shared" ref="G832:H832" si="482">SUM(G833)</f>
        <v>182</v>
      </c>
      <c r="H832" s="12">
        <f t="shared" si="482"/>
        <v>182</v>
      </c>
    </row>
    <row r="833" spans="1:8" ht="54" x14ac:dyDescent="0.25">
      <c r="A833" s="19">
        <f t="shared" si="455"/>
        <v>822</v>
      </c>
      <c r="B833" s="10" t="s">
        <v>28</v>
      </c>
      <c r="C833" s="11" t="s">
        <v>689</v>
      </c>
      <c r="D833" s="11" t="s">
        <v>693</v>
      </c>
      <c r="E833" s="11" t="s">
        <v>29</v>
      </c>
      <c r="F833" s="12">
        <v>182</v>
      </c>
      <c r="G833" s="12">
        <v>182</v>
      </c>
      <c r="H833" s="12">
        <v>182</v>
      </c>
    </row>
    <row r="834" spans="1:8" ht="54" x14ac:dyDescent="0.25">
      <c r="A834" s="19">
        <f t="shared" si="455"/>
        <v>823</v>
      </c>
      <c r="B834" s="10" t="s">
        <v>663</v>
      </c>
      <c r="C834" s="11" t="s">
        <v>689</v>
      </c>
      <c r="D834" s="11" t="s">
        <v>664</v>
      </c>
      <c r="E834" s="11"/>
      <c r="F834" s="12">
        <f>SUM(F835+F838)</f>
        <v>7216.25</v>
      </c>
      <c r="G834" s="12">
        <f t="shared" ref="G834:H834" si="483">SUM(G835+G838)</f>
        <v>7082.5</v>
      </c>
      <c r="H834" s="12">
        <f t="shared" si="483"/>
        <v>7249.9000000000005</v>
      </c>
    </row>
    <row r="835" spans="1:8" ht="234" x14ac:dyDescent="0.25">
      <c r="A835" s="19">
        <f t="shared" si="455"/>
        <v>824</v>
      </c>
      <c r="B835" s="10" t="s">
        <v>665</v>
      </c>
      <c r="C835" s="11" t="s">
        <v>689</v>
      </c>
      <c r="D835" s="11" t="s">
        <v>666</v>
      </c>
      <c r="E835" s="11"/>
      <c r="F835" s="12">
        <f>SUM(F836:F837)</f>
        <v>1034.8</v>
      </c>
      <c r="G835" s="12">
        <f t="shared" ref="G835:H835" si="484">SUM(G836:G837)</f>
        <v>1034.8</v>
      </c>
      <c r="H835" s="12">
        <f t="shared" si="484"/>
        <v>1034.8</v>
      </c>
    </row>
    <row r="836" spans="1:8" ht="36" x14ac:dyDescent="0.25">
      <c r="A836" s="19">
        <f t="shared" si="455"/>
        <v>825</v>
      </c>
      <c r="B836" s="10" t="s">
        <v>18</v>
      </c>
      <c r="C836" s="11" t="s">
        <v>689</v>
      </c>
      <c r="D836" s="11" t="s">
        <v>666</v>
      </c>
      <c r="E836" s="11" t="s">
        <v>19</v>
      </c>
      <c r="F836" s="12">
        <v>872.37</v>
      </c>
      <c r="G836" s="12">
        <v>1034.8</v>
      </c>
      <c r="H836" s="12">
        <v>1034.8</v>
      </c>
    </row>
    <row r="837" spans="1:8" ht="54" x14ac:dyDescent="0.25">
      <c r="A837" s="19">
        <f t="shared" si="455"/>
        <v>826</v>
      </c>
      <c r="B837" s="10" t="s">
        <v>28</v>
      </c>
      <c r="C837" s="11" t="s">
        <v>689</v>
      </c>
      <c r="D837" s="11" t="s">
        <v>666</v>
      </c>
      <c r="E837" s="11" t="s">
        <v>29</v>
      </c>
      <c r="F837" s="12">
        <v>162.43</v>
      </c>
      <c r="G837" s="12">
        <v>0</v>
      </c>
      <c r="H837" s="12">
        <v>0</v>
      </c>
    </row>
    <row r="838" spans="1:8" ht="252" x14ac:dyDescent="0.25">
      <c r="A838" s="19">
        <f t="shared" si="455"/>
        <v>827</v>
      </c>
      <c r="B838" s="10" t="s">
        <v>667</v>
      </c>
      <c r="C838" s="11" t="s">
        <v>689</v>
      </c>
      <c r="D838" s="11" t="s">
        <v>668</v>
      </c>
      <c r="E838" s="11"/>
      <c r="F838" s="12">
        <f>SUM(F839:F840)</f>
        <v>6181.45</v>
      </c>
      <c r="G838" s="12">
        <f t="shared" ref="G838:H838" si="485">SUM(G839:G840)</f>
        <v>6047.7</v>
      </c>
      <c r="H838" s="12">
        <f t="shared" si="485"/>
        <v>6215.1</v>
      </c>
    </row>
    <row r="839" spans="1:8" ht="36" x14ac:dyDescent="0.25">
      <c r="A839" s="19">
        <f t="shared" si="455"/>
        <v>828</v>
      </c>
      <c r="B839" s="10" t="s">
        <v>18</v>
      </c>
      <c r="C839" s="11" t="s">
        <v>689</v>
      </c>
      <c r="D839" s="11" t="s">
        <v>668</v>
      </c>
      <c r="E839" s="11" t="s">
        <v>19</v>
      </c>
      <c r="F839" s="12">
        <v>4155.75</v>
      </c>
      <c r="G839" s="12">
        <v>4177.7</v>
      </c>
      <c r="H839" s="12">
        <v>4345.1000000000004</v>
      </c>
    </row>
    <row r="840" spans="1:8" ht="54" x14ac:dyDescent="0.25">
      <c r="A840" s="19">
        <f t="shared" si="459"/>
        <v>829</v>
      </c>
      <c r="B840" s="10" t="s">
        <v>28</v>
      </c>
      <c r="C840" s="11" t="s">
        <v>689</v>
      </c>
      <c r="D840" s="11" t="s">
        <v>668</v>
      </c>
      <c r="E840" s="11" t="s">
        <v>29</v>
      </c>
      <c r="F840" s="12">
        <v>2025.7</v>
      </c>
      <c r="G840" s="12">
        <v>1870</v>
      </c>
      <c r="H840" s="12">
        <v>1870</v>
      </c>
    </row>
    <row r="841" spans="1:8" ht="72" x14ac:dyDescent="0.25">
      <c r="A841" s="19">
        <f t="shared" si="459"/>
        <v>830</v>
      </c>
      <c r="B841" s="10" t="s">
        <v>198</v>
      </c>
      <c r="C841" s="11" t="s">
        <v>689</v>
      </c>
      <c r="D841" s="11" t="s">
        <v>199</v>
      </c>
      <c r="E841" s="11"/>
      <c r="F841" s="12">
        <f>SUM(F842)</f>
        <v>1324.8</v>
      </c>
      <c r="G841" s="12">
        <f t="shared" ref="G841:H841" si="486">SUM(G842)</f>
        <v>1286.3</v>
      </c>
      <c r="H841" s="12">
        <f t="shared" si="486"/>
        <v>1286.3</v>
      </c>
    </row>
    <row r="842" spans="1:8" ht="72" x14ac:dyDescent="0.25">
      <c r="A842" s="19">
        <f t="shared" si="459"/>
        <v>831</v>
      </c>
      <c r="B842" s="10" t="s">
        <v>651</v>
      </c>
      <c r="C842" s="11" t="s">
        <v>689</v>
      </c>
      <c r="D842" s="11" t="s">
        <v>652</v>
      </c>
      <c r="E842" s="11"/>
      <c r="F842" s="12">
        <f>SUM(F843)</f>
        <v>1324.8</v>
      </c>
      <c r="G842" s="12">
        <f t="shared" ref="G842:H842" si="487">SUM(G843)</f>
        <v>1286.3</v>
      </c>
      <c r="H842" s="12">
        <f t="shared" si="487"/>
        <v>1286.3</v>
      </c>
    </row>
    <row r="843" spans="1:8" ht="90" x14ac:dyDescent="0.25">
      <c r="A843" s="19">
        <f t="shared" si="459"/>
        <v>832</v>
      </c>
      <c r="B843" s="10" t="s">
        <v>694</v>
      </c>
      <c r="C843" s="11" t="s">
        <v>689</v>
      </c>
      <c r="D843" s="11" t="s">
        <v>695</v>
      </c>
      <c r="E843" s="11"/>
      <c r="F843" s="12">
        <f>SUM(F844)</f>
        <v>1324.8</v>
      </c>
      <c r="G843" s="12">
        <f t="shared" ref="G843:H843" si="488">SUM(G844)</f>
        <v>1286.3</v>
      </c>
      <c r="H843" s="12">
        <f t="shared" si="488"/>
        <v>1286.3</v>
      </c>
    </row>
    <row r="844" spans="1:8" ht="90" x14ac:dyDescent="0.25">
      <c r="A844" s="19">
        <f t="shared" si="459"/>
        <v>833</v>
      </c>
      <c r="B844" s="10" t="s">
        <v>149</v>
      </c>
      <c r="C844" s="11" t="s">
        <v>689</v>
      </c>
      <c r="D844" s="11" t="s">
        <v>695</v>
      </c>
      <c r="E844" s="11" t="s">
        <v>150</v>
      </c>
      <c r="F844" s="12">
        <v>1324.8</v>
      </c>
      <c r="G844" s="12">
        <v>1286.3</v>
      </c>
      <c r="H844" s="12">
        <v>1286.3</v>
      </c>
    </row>
    <row r="845" spans="1:8" x14ac:dyDescent="0.25">
      <c r="A845" s="18">
        <f t="shared" si="459"/>
        <v>834</v>
      </c>
      <c r="B845" s="14" t="s">
        <v>696</v>
      </c>
      <c r="C845" s="15" t="s">
        <v>697</v>
      </c>
      <c r="D845" s="15"/>
      <c r="E845" s="15"/>
      <c r="F845" s="16">
        <f>SUM(F846+F872+F885)</f>
        <v>156307.41</v>
      </c>
      <c r="G845" s="16">
        <f t="shared" ref="G845:H845" si="489">SUM(G846+G872+G885)</f>
        <v>154657.4</v>
      </c>
      <c r="H845" s="16">
        <f t="shared" si="489"/>
        <v>159993.59</v>
      </c>
    </row>
    <row r="846" spans="1:8" x14ac:dyDescent="0.25">
      <c r="A846" s="18">
        <f t="shared" si="459"/>
        <v>835</v>
      </c>
      <c r="B846" s="14" t="s">
        <v>698</v>
      </c>
      <c r="C846" s="15" t="s">
        <v>699</v>
      </c>
      <c r="D846" s="15"/>
      <c r="E846" s="15"/>
      <c r="F846" s="16">
        <f>SUM(F847+F856+F866)</f>
        <v>98399.83</v>
      </c>
      <c r="G846" s="16">
        <f t="shared" ref="G846:H846" si="490">SUM(G847+G856+G866)</f>
        <v>93615.55</v>
      </c>
      <c r="H846" s="16">
        <f t="shared" si="490"/>
        <v>96286.34</v>
      </c>
    </row>
    <row r="847" spans="1:8" ht="54" x14ac:dyDescent="0.25">
      <c r="A847" s="19">
        <f t="shared" si="459"/>
        <v>836</v>
      </c>
      <c r="B847" s="10" t="s">
        <v>469</v>
      </c>
      <c r="C847" s="11" t="s">
        <v>699</v>
      </c>
      <c r="D847" s="11" t="s">
        <v>470</v>
      </c>
      <c r="E847" s="11"/>
      <c r="F847" s="12">
        <f>SUM(F848+F853)</f>
        <v>11022.27</v>
      </c>
      <c r="G847" s="12">
        <f t="shared" ref="G847:H847" si="491">SUM(G848+G853)</f>
        <v>11383.88</v>
      </c>
      <c r="H847" s="12">
        <f t="shared" si="491"/>
        <v>11790.099999999999</v>
      </c>
    </row>
    <row r="848" spans="1:8" ht="72" x14ac:dyDescent="0.25">
      <c r="A848" s="19">
        <f t="shared" si="459"/>
        <v>837</v>
      </c>
      <c r="B848" s="10" t="s">
        <v>512</v>
      </c>
      <c r="C848" s="11" t="s">
        <v>699</v>
      </c>
      <c r="D848" s="11" t="s">
        <v>513</v>
      </c>
      <c r="E848" s="11"/>
      <c r="F848" s="12">
        <f>SUM(F849+F851)</f>
        <v>10987.27</v>
      </c>
      <c r="G848" s="12">
        <f t="shared" ref="G848:H848" si="492">SUM(G849+G851)</f>
        <v>11383.88</v>
      </c>
      <c r="H848" s="12">
        <f t="shared" si="492"/>
        <v>11790.099999999999</v>
      </c>
    </row>
    <row r="849" spans="1:8" ht="72" x14ac:dyDescent="0.25">
      <c r="A849" s="19">
        <f t="shared" si="459"/>
        <v>838</v>
      </c>
      <c r="B849" s="10" t="s">
        <v>520</v>
      </c>
      <c r="C849" s="11" t="s">
        <v>699</v>
      </c>
      <c r="D849" s="11" t="s">
        <v>521</v>
      </c>
      <c r="E849" s="11"/>
      <c r="F849" s="12">
        <f>SUM(F850)</f>
        <v>8829.84</v>
      </c>
      <c r="G849" s="12">
        <f t="shared" ref="G849:H849" si="493">SUM(G850)</f>
        <v>9388.98</v>
      </c>
      <c r="H849" s="12">
        <f t="shared" si="493"/>
        <v>9738.1299999999992</v>
      </c>
    </row>
    <row r="850" spans="1:8" x14ac:dyDescent="0.25">
      <c r="A850" s="19">
        <f t="shared" si="459"/>
        <v>839</v>
      </c>
      <c r="B850" s="10" t="s">
        <v>137</v>
      </c>
      <c r="C850" s="11" t="s">
        <v>699</v>
      </c>
      <c r="D850" s="11" t="s">
        <v>521</v>
      </c>
      <c r="E850" s="11" t="s">
        <v>138</v>
      </c>
      <c r="F850" s="12">
        <v>8829.84</v>
      </c>
      <c r="G850" s="12">
        <v>9388.98</v>
      </c>
      <c r="H850" s="12">
        <v>9738.1299999999992</v>
      </c>
    </row>
    <row r="851" spans="1:8" ht="54" x14ac:dyDescent="0.25">
      <c r="A851" s="19">
        <f t="shared" si="459"/>
        <v>840</v>
      </c>
      <c r="B851" s="10" t="s">
        <v>522</v>
      </c>
      <c r="C851" s="11" t="s">
        <v>699</v>
      </c>
      <c r="D851" s="11" t="s">
        <v>523</v>
      </c>
      <c r="E851" s="11"/>
      <c r="F851" s="12">
        <f>SUM(F852)</f>
        <v>2157.4299999999998</v>
      </c>
      <c r="G851" s="12">
        <f t="shared" ref="G851:H851" si="494">SUM(G852)</f>
        <v>1994.9</v>
      </c>
      <c r="H851" s="12">
        <f t="shared" si="494"/>
        <v>2051.9699999999998</v>
      </c>
    </row>
    <row r="852" spans="1:8" x14ac:dyDescent="0.25">
      <c r="A852" s="19">
        <f t="shared" si="459"/>
        <v>841</v>
      </c>
      <c r="B852" s="10" t="s">
        <v>137</v>
      </c>
      <c r="C852" s="11" t="s">
        <v>699</v>
      </c>
      <c r="D852" s="11" t="s">
        <v>523</v>
      </c>
      <c r="E852" s="11" t="s">
        <v>138</v>
      </c>
      <c r="F852" s="12">
        <v>2157.4299999999998</v>
      </c>
      <c r="G852" s="12">
        <v>1994.9</v>
      </c>
      <c r="H852" s="12">
        <v>2051.9699999999998</v>
      </c>
    </row>
    <row r="853" spans="1:8" ht="72" x14ac:dyDescent="0.25">
      <c r="A853" s="19">
        <f t="shared" si="459"/>
        <v>842</v>
      </c>
      <c r="B853" s="10" t="s">
        <v>814</v>
      </c>
      <c r="C853" s="11">
        <v>1101</v>
      </c>
      <c r="D853" s="24" t="s">
        <v>580</v>
      </c>
      <c r="E853" s="11"/>
      <c r="F853" s="12">
        <f>SUM(F854)</f>
        <v>35</v>
      </c>
      <c r="G853" s="12">
        <f t="shared" ref="G853:H853" si="495">SUM(G854)</f>
        <v>0</v>
      </c>
      <c r="H853" s="12">
        <f t="shared" si="495"/>
        <v>0</v>
      </c>
    </row>
    <row r="854" spans="1:8" ht="54" x14ac:dyDescent="0.25">
      <c r="A854" s="19">
        <f t="shared" si="459"/>
        <v>843</v>
      </c>
      <c r="B854" s="10" t="s">
        <v>757</v>
      </c>
      <c r="C854" s="11">
        <v>1101</v>
      </c>
      <c r="D854" s="24" t="s">
        <v>758</v>
      </c>
      <c r="E854" s="11"/>
      <c r="F854" s="12">
        <f>SUM(F855)</f>
        <v>35</v>
      </c>
      <c r="G854" s="12">
        <f t="shared" ref="G854:H854" si="496">SUM(G855)</f>
        <v>0</v>
      </c>
      <c r="H854" s="12">
        <f t="shared" si="496"/>
        <v>0</v>
      </c>
    </row>
    <row r="855" spans="1:8" x14ac:dyDescent="0.25">
      <c r="A855" s="19">
        <f t="shared" ref="A855:A905" si="497">SUM(A854+1)</f>
        <v>844</v>
      </c>
      <c r="B855" s="10" t="s">
        <v>137</v>
      </c>
      <c r="C855" s="11">
        <v>1101</v>
      </c>
      <c r="D855" s="24" t="s">
        <v>758</v>
      </c>
      <c r="E855" s="11">
        <v>610</v>
      </c>
      <c r="F855" s="12">
        <v>35</v>
      </c>
      <c r="G855" s="12">
        <v>0</v>
      </c>
      <c r="H855" s="12">
        <v>0</v>
      </c>
    </row>
    <row r="856" spans="1:8" ht="72" x14ac:dyDescent="0.25">
      <c r="A856" s="19">
        <f t="shared" si="497"/>
        <v>845</v>
      </c>
      <c r="B856" s="10" t="s">
        <v>544</v>
      </c>
      <c r="C856" s="11" t="s">
        <v>699</v>
      </c>
      <c r="D856" s="11" t="s">
        <v>545</v>
      </c>
      <c r="E856" s="11"/>
      <c r="F856" s="12">
        <f>SUM(F857)</f>
        <v>87157.56</v>
      </c>
      <c r="G856" s="12">
        <f t="shared" ref="G856:H856" si="498">SUM(G857)</f>
        <v>82231.67</v>
      </c>
      <c r="H856" s="12">
        <f t="shared" si="498"/>
        <v>84496.24</v>
      </c>
    </row>
    <row r="857" spans="1:8" ht="54" x14ac:dyDescent="0.25">
      <c r="A857" s="19">
        <f t="shared" si="497"/>
        <v>846</v>
      </c>
      <c r="B857" s="10" t="s">
        <v>700</v>
      </c>
      <c r="C857" s="11" t="s">
        <v>699</v>
      </c>
      <c r="D857" s="11" t="s">
        <v>701</v>
      </c>
      <c r="E857" s="11"/>
      <c r="F857" s="12">
        <f>SUM(F858+F861+F864)</f>
        <v>87157.56</v>
      </c>
      <c r="G857" s="12">
        <f t="shared" ref="G857:H857" si="499">SUM(G858+G861+G864)</f>
        <v>82231.67</v>
      </c>
      <c r="H857" s="12">
        <f t="shared" si="499"/>
        <v>84496.24</v>
      </c>
    </row>
    <row r="858" spans="1:8" ht="90" x14ac:dyDescent="0.25">
      <c r="A858" s="19">
        <f t="shared" si="497"/>
        <v>847</v>
      </c>
      <c r="B858" s="10" t="s">
        <v>702</v>
      </c>
      <c r="C858" s="11" t="s">
        <v>699</v>
      </c>
      <c r="D858" s="11" t="s">
        <v>703</v>
      </c>
      <c r="E858" s="11"/>
      <c r="F858" s="12">
        <f>SUM(F859:F860)</f>
        <v>74382.559999999998</v>
      </c>
      <c r="G858" s="12">
        <f t="shared" ref="G858:H858" si="500">SUM(G859:G860)</f>
        <v>82231.67</v>
      </c>
      <c r="H858" s="12">
        <f t="shared" si="500"/>
        <v>84496.24</v>
      </c>
    </row>
    <row r="859" spans="1:8" x14ac:dyDescent="0.25">
      <c r="A859" s="19">
        <f t="shared" si="497"/>
        <v>848</v>
      </c>
      <c r="B859" s="10" t="s">
        <v>137</v>
      </c>
      <c r="C859" s="11" t="s">
        <v>699</v>
      </c>
      <c r="D859" s="11" t="s">
        <v>703</v>
      </c>
      <c r="E859" s="11" t="s">
        <v>138</v>
      </c>
      <c r="F859" s="12">
        <v>19783.060000000001</v>
      </c>
      <c r="G859" s="12">
        <v>20808.77</v>
      </c>
      <c r="H859" s="12">
        <v>21437.34</v>
      </c>
    </row>
    <row r="860" spans="1:8" x14ac:dyDescent="0.25">
      <c r="A860" s="19">
        <f t="shared" si="497"/>
        <v>849</v>
      </c>
      <c r="B860" s="10" t="s">
        <v>143</v>
      </c>
      <c r="C860" s="11" t="s">
        <v>699</v>
      </c>
      <c r="D860" s="11" t="s">
        <v>703</v>
      </c>
      <c r="E860" s="11" t="s">
        <v>144</v>
      </c>
      <c r="F860" s="12">
        <f>59899.5-5300</f>
        <v>54599.5</v>
      </c>
      <c r="G860" s="12">
        <v>61422.9</v>
      </c>
      <c r="H860" s="12">
        <v>63058.9</v>
      </c>
    </row>
    <row r="861" spans="1:8" ht="72" x14ac:dyDescent="0.25">
      <c r="A861" s="19">
        <f t="shared" si="497"/>
        <v>850</v>
      </c>
      <c r="B861" s="10" t="s">
        <v>704</v>
      </c>
      <c r="C861" s="11" t="s">
        <v>699</v>
      </c>
      <c r="D861" s="11" t="s">
        <v>705</v>
      </c>
      <c r="E861" s="11"/>
      <c r="F861" s="12">
        <f>SUM(F862:F863)</f>
        <v>11375</v>
      </c>
      <c r="G861" s="12">
        <f t="shared" ref="G861:H861" si="501">SUM(G862:G863)</f>
        <v>0</v>
      </c>
      <c r="H861" s="12">
        <f t="shared" si="501"/>
        <v>0</v>
      </c>
    </row>
    <row r="862" spans="1:8" x14ac:dyDescent="0.25">
      <c r="A862" s="19">
        <f t="shared" ref="A862:A918" si="502">SUM(A861+1)</f>
        <v>851</v>
      </c>
      <c r="B862" s="10" t="s">
        <v>137</v>
      </c>
      <c r="C862" s="11" t="s">
        <v>699</v>
      </c>
      <c r="D862" s="11" t="s">
        <v>705</v>
      </c>
      <c r="E862" s="11" t="s">
        <v>138</v>
      </c>
      <c r="F862" s="12">
        <v>500</v>
      </c>
      <c r="G862" s="12">
        <v>0</v>
      </c>
      <c r="H862" s="12">
        <v>0</v>
      </c>
    </row>
    <row r="863" spans="1:8" x14ac:dyDescent="0.25">
      <c r="A863" s="19">
        <f t="shared" si="502"/>
        <v>852</v>
      </c>
      <c r="B863" s="10" t="s">
        <v>143</v>
      </c>
      <c r="C863" s="11" t="s">
        <v>699</v>
      </c>
      <c r="D863" s="11" t="s">
        <v>705</v>
      </c>
      <c r="E863" s="11" t="s">
        <v>144</v>
      </c>
      <c r="F863" s="12">
        <f>10475+400</f>
        <v>10875</v>
      </c>
      <c r="G863" s="12">
        <v>0</v>
      </c>
      <c r="H863" s="12">
        <v>0</v>
      </c>
    </row>
    <row r="864" spans="1:8" ht="36" x14ac:dyDescent="0.25">
      <c r="A864" s="19">
        <f t="shared" si="502"/>
        <v>853</v>
      </c>
      <c r="B864" s="10" t="s">
        <v>706</v>
      </c>
      <c r="C864" s="11" t="s">
        <v>699</v>
      </c>
      <c r="D864" s="11" t="s">
        <v>707</v>
      </c>
      <c r="E864" s="11"/>
      <c r="F864" s="12">
        <f>SUM(F865)</f>
        <v>1400</v>
      </c>
      <c r="G864" s="12">
        <f t="shared" ref="G864:H864" si="503">SUM(G865)</f>
        <v>0</v>
      </c>
      <c r="H864" s="12">
        <f t="shared" si="503"/>
        <v>0</v>
      </c>
    </row>
    <row r="865" spans="1:8" x14ac:dyDescent="0.25">
      <c r="A865" s="19">
        <f t="shared" si="502"/>
        <v>854</v>
      </c>
      <c r="B865" s="10" t="s">
        <v>143</v>
      </c>
      <c r="C865" s="11" t="s">
        <v>699</v>
      </c>
      <c r="D865" s="11" t="s">
        <v>707</v>
      </c>
      <c r="E865" s="11" t="s">
        <v>144</v>
      </c>
      <c r="F865" s="12">
        <f>1800-400</f>
        <v>1400</v>
      </c>
      <c r="G865" s="12">
        <v>0</v>
      </c>
      <c r="H865" s="12">
        <v>0</v>
      </c>
    </row>
    <row r="866" spans="1:8" ht="72" x14ac:dyDescent="0.25">
      <c r="A866" s="19">
        <f t="shared" si="502"/>
        <v>855</v>
      </c>
      <c r="B866" s="10" t="s">
        <v>198</v>
      </c>
      <c r="C866" s="11" t="s">
        <v>699</v>
      </c>
      <c r="D866" s="24" t="s">
        <v>199</v>
      </c>
      <c r="E866" s="11"/>
      <c r="F866" s="12">
        <f>SUM(F867)</f>
        <v>220</v>
      </c>
      <c r="G866" s="12">
        <f t="shared" ref="G866:H866" si="504">SUM(G867)</f>
        <v>0</v>
      </c>
      <c r="H866" s="12">
        <f t="shared" si="504"/>
        <v>0</v>
      </c>
    </row>
    <row r="867" spans="1:8" ht="72" x14ac:dyDescent="0.25">
      <c r="A867" s="19">
        <f t="shared" si="502"/>
        <v>856</v>
      </c>
      <c r="B867" s="10" t="s">
        <v>754</v>
      </c>
      <c r="C867" s="11" t="s">
        <v>699</v>
      </c>
      <c r="D867" s="24" t="s">
        <v>306</v>
      </c>
      <c r="E867" s="11"/>
      <c r="F867" s="12">
        <f>SUM(F870+F868)</f>
        <v>220</v>
      </c>
      <c r="G867" s="12">
        <f t="shared" ref="G867:H867" si="505">SUM(G870+G868)</f>
        <v>0</v>
      </c>
      <c r="H867" s="12">
        <f t="shared" si="505"/>
        <v>0</v>
      </c>
    </row>
    <row r="868" spans="1:8" ht="72" x14ac:dyDescent="0.25">
      <c r="A868" s="19">
        <f t="shared" si="502"/>
        <v>857</v>
      </c>
      <c r="B868" s="10" t="s">
        <v>816</v>
      </c>
      <c r="C868" s="11" t="s">
        <v>699</v>
      </c>
      <c r="D868" s="24" t="s">
        <v>815</v>
      </c>
      <c r="E868" s="11"/>
      <c r="F868" s="12">
        <f>SUM(F869)</f>
        <v>78</v>
      </c>
      <c r="G868" s="12">
        <f t="shared" ref="G868:H868" si="506">SUM(G869)</f>
        <v>0</v>
      </c>
      <c r="H868" s="12">
        <f t="shared" si="506"/>
        <v>0</v>
      </c>
    </row>
    <row r="869" spans="1:8" x14ac:dyDescent="0.25">
      <c r="A869" s="19">
        <f t="shared" si="502"/>
        <v>858</v>
      </c>
      <c r="B869" s="10" t="s">
        <v>143</v>
      </c>
      <c r="C869" s="11" t="s">
        <v>699</v>
      </c>
      <c r="D869" s="24" t="s">
        <v>815</v>
      </c>
      <c r="E869" s="11">
        <v>620</v>
      </c>
      <c r="F869" s="12">
        <v>78</v>
      </c>
      <c r="G869" s="12">
        <v>0</v>
      </c>
      <c r="H869" s="12">
        <v>0</v>
      </c>
    </row>
    <row r="870" spans="1:8" ht="72" x14ac:dyDescent="0.25">
      <c r="A870" s="19">
        <f t="shared" si="502"/>
        <v>859</v>
      </c>
      <c r="B870" s="10" t="s">
        <v>817</v>
      </c>
      <c r="C870" s="11" t="s">
        <v>699</v>
      </c>
      <c r="D870" s="24" t="s">
        <v>308</v>
      </c>
      <c r="E870" s="11"/>
      <c r="F870" s="12">
        <f>SUM(F871)</f>
        <v>142</v>
      </c>
      <c r="G870" s="12">
        <f t="shared" ref="G870:H870" si="507">SUM(G871)</f>
        <v>0</v>
      </c>
      <c r="H870" s="12">
        <f t="shared" si="507"/>
        <v>0</v>
      </c>
    </row>
    <row r="871" spans="1:8" x14ac:dyDescent="0.25">
      <c r="A871" s="19">
        <f t="shared" si="502"/>
        <v>860</v>
      </c>
      <c r="B871" s="10" t="s">
        <v>143</v>
      </c>
      <c r="C871" s="11" t="s">
        <v>699</v>
      </c>
      <c r="D871" s="24" t="s">
        <v>308</v>
      </c>
      <c r="E871" s="11">
        <v>620</v>
      </c>
      <c r="F871" s="12">
        <v>142</v>
      </c>
      <c r="G871" s="12">
        <v>0</v>
      </c>
      <c r="H871" s="12">
        <v>0</v>
      </c>
    </row>
    <row r="872" spans="1:8" x14ac:dyDescent="0.25">
      <c r="A872" s="18">
        <f t="shared" si="502"/>
        <v>861</v>
      </c>
      <c r="B872" s="14" t="s">
        <v>708</v>
      </c>
      <c r="C872" s="15" t="s">
        <v>709</v>
      </c>
      <c r="D872" s="15"/>
      <c r="E872" s="15"/>
      <c r="F872" s="16">
        <f>SUM(F873)</f>
        <v>27772.920000000002</v>
      </c>
      <c r="G872" s="16">
        <f t="shared" ref="G872:H872" si="508">SUM(G873)</f>
        <v>28565.439999999999</v>
      </c>
      <c r="H872" s="16">
        <f t="shared" si="508"/>
        <v>29458.87</v>
      </c>
    </row>
    <row r="873" spans="1:8" ht="72" x14ac:dyDescent="0.25">
      <c r="A873" s="19">
        <f t="shared" si="502"/>
        <v>862</v>
      </c>
      <c r="B873" s="10" t="s">
        <v>544</v>
      </c>
      <c r="C873" s="11" t="s">
        <v>709</v>
      </c>
      <c r="D873" s="11" t="s">
        <v>545</v>
      </c>
      <c r="E873" s="11"/>
      <c r="F873" s="12">
        <f>SUM(F874)</f>
        <v>27772.920000000002</v>
      </c>
      <c r="G873" s="12">
        <f t="shared" ref="G873:H873" si="509">SUM(G874)</f>
        <v>28565.439999999999</v>
      </c>
      <c r="H873" s="12">
        <f t="shared" si="509"/>
        <v>29458.87</v>
      </c>
    </row>
    <row r="874" spans="1:8" ht="54" x14ac:dyDescent="0.25">
      <c r="A874" s="19">
        <f t="shared" si="502"/>
        <v>863</v>
      </c>
      <c r="B874" s="10" t="s">
        <v>710</v>
      </c>
      <c r="C874" s="11" t="s">
        <v>709</v>
      </c>
      <c r="D874" s="11" t="s">
        <v>711</v>
      </c>
      <c r="E874" s="11"/>
      <c r="F874" s="12">
        <f>SUM(F875+F877+F879+F881+F883)</f>
        <v>27772.920000000002</v>
      </c>
      <c r="G874" s="12">
        <f t="shared" ref="G874:H874" si="510">SUM(G875+G877+G879+G881+G883)</f>
        <v>28565.439999999999</v>
      </c>
      <c r="H874" s="12">
        <f t="shared" si="510"/>
        <v>29458.87</v>
      </c>
    </row>
    <row r="875" spans="1:8" ht="72" x14ac:dyDescent="0.25">
      <c r="A875" s="19">
        <f t="shared" si="502"/>
        <v>864</v>
      </c>
      <c r="B875" s="10" t="s">
        <v>712</v>
      </c>
      <c r="C875" s="11" t="s">
        <v>709</v>
      </c>
      <c r="D875" s="11" t="s">
        <v>713</v>
      </c>
      <c r="E875" s="11"/>
      <c r="F875" s="12">
        <f>SUM(F876)</f>
        <v>623</v>
      </c>
      <c r="G875" s="12">
        <f t="shared" ref="G875:H875" si="511">SUM(G876)</f>
        <v>823</v>
      </c>
      <c r="H875" s="12">
        <f t="shared" si="511"/>
        <v>823</v>
      </c>
    </row>
    <row r="876" spans="1:8" x14ac:dyDescent="0.25">
      <c r="A876" s="19">
        <f t="shared" si="502"/>
        <v>865</v>
      </c>
      <c r="B876" s="10" t="s">
        <v>137</v>
      </c>
      <c r="C876" s="11" t="s">
        <v>709</v>
      </c>
      <c r="D876" s="11" t="s">
        <v>713</v>
      </c>
      <c r="E876" s="11" t="s">
        <v>138</v>
      </c>
      <c r="F876" s="12">
        <v>623</v>
      </c>
      <c r="G876" s="12">
        <v>823</v>
      </c>
      <c r="H876" s="12">
        <v>823</v>
      </c>
    </row>
    <row r="877" spans="1:8" ht="54" x14ac:dyDescent="0.25">
      <c r="A877" s="19">
        <f t="shared" si="497"/>
        <v>866</v>
      </c>
      <c r="B877" s="10" t="s">
        <v>714</v>
      </c>
      <c r="C877" s="11" t="s">
        <v>709</v>
      </c>
      <c r="D877" s="11" t="s">
        <v>715</v>
      </c>
      <c r="E877" s="11"/>
      <c r="F877" s="12">
        <f>SUM(F878)</f>
        <v>2090</v>
      </c>
      <c r="G877" s="12">
        <f t="shared" ref="G877:H877" si="512">SUM(G878)</f>
        <v>1890</v>
      </c>
      <c r="H877" s="12">
        <f t="shared" si="512"/>
        <v>1890</v>
      </c>
    </row>
    <row r="878" spans="1:8" x14ac:dyDescent="0.25">
      <c r="A878" s="19">
        <f t="shared" si="497"/>
        <v>867</v>
      </c>
      <c r="B878" s="10" t="s">
        <v>137</v>
      </c>
      <c r="C878" s="11" t="s">
        <v>709</v>
      </c>
      <c r="D878" s="11" t="s">
        <v>715</v>
      </c>
      <c r="E878" s="11" t="s">
        <v>138</v>
      </c>
      <c r="F878" s="12">
        <v>2090</v>
      </c>
      <c r="G878" s="12">
        <v>1890</v>
      </c>
      <c r="H878" s="12">
        <v>1890</v>
      </c>
    </row>
    <row r="879" spans="1:8" ht="54" x14ac:dyDescent="0.25">
      <c r="A879" s="19">
        <f t="shared" si="497"/>
        <v>868</v>
      </c>
      <c r="B879" s="10" t="s">
        <v>716</v>
      </c>
      <c r="C879" s="11" t="s">
        <v>709</v>
      </c>
      <c r="D879" s="11" t="s">
        <v>717</v>
      </c>
      <c r="E879" s="11"/>
      <c r="F879" s="12">
        <f>SUM(F880)</f>
        <v>24885.02</v>
      </c>
      <c r="G879" s="12">
        <f t="shared" ref="G879:H879" si="513">SUM(G880)</f>
        <v>25852.44</v>
      </c>
      <c r="H879" s="12">
        <f t="shared" si="513"/>
        <v>26745.87</v>
      </c>
    </row>
    <row r="880" spans="1:8" x14ac:dyDescent="0.25">
      <c r="A880" s="19">
        <f t="shared" si="497"/>
        <v>869</v>
      </c>
      <c r="B880" s="10" t="s">
        <v>137</v>
      </c>
      <c r="C880" s="11" t="s">
        <v>709</v>
      </c>
      <c r="D880" s="11" t="s">
        <v>717</v>
      </c>
      <c r="E880" s="11" t="s">
        <v>138</v>
      </c>
      <c r="F880" s="12">
        <v>24885.02</v>
      </c>
      <c r="G880" s="12">
        <v>25852.44</v>
      </c>
      <c r="H880" s="12">
        <v>26745.87</v>
      </c>
    </row>
    <row r="881" spans="1:8" ht="72" x14ac:dyDescent="0.25">
      <c r="A881" s="19">
        <f t="shared" si="497"/>
        <v>870</v>
      </c>
      <c r="B881" s="10" t="s">
        <v>718</v>
      </c>
      <c r="C881" s="11" t="s">
        <v>709</v>
      </c>
      <c r="D881" s="11" t="s">
        <v>719</v>
      </c>
      <c r="E881" s="11"/>
      <c r="F881" s="12">
        <f>SUM(F882)</f>
        <v>122.4</v>
      </c>
      <c r="G881" s="12">
        <f t="shared" ref="G881:H881" si="514">SUM(G882)</f>
        <v>0</v>
      </c>
      <c r="H881" s="12">
        <f t="shared" si="514"/>
        <v>0</v>
      </c>
    </row>
    <row r="882" spans="1:8" x14ac:dyDescent="0.25">
      <c r="A882" s="19">
        <f t="shared" si="497"/>
        <v>871</v>
      </c>
      <c r="B882" s="10" t="s">
        <v>137</v>
      </c>
      <c r="C882" s="11" t="s">
        <v>709</v>
      </c>
      <c r="D882" s="11" t="s">
        <v>719</v>
      </c>
      <c r="E882" s="11" t="s">
        <v>138</v>
      </c>
      <c r="F882" s="12">
        <v>122.4</v>
      </c>
      <c r="G882" s="12">
        <v>0</v>
      </c>
      <c r="H882" s="12">
        <v>0</v>
      </c>
    </row>
    <row r="883" spans="1:8" ht="72" x14ac:dyDescent="0.25">
      <c r="A883" s="19">
        <f t="shared" si="497"/>
        <v>872</v>
      </c>
      <c r="B883" s="10" t="s">
        <v>718</v>
      </c>
      <c r="C883" s="11" t="s">
        <v>709</v>
      </c>
      <c r="D883" s="11" t="s">
        <v>720</v>
      </c>
      <c r="E883" s="11"/>
      <c r="F883" s="12">
        <f>SUM(F884)</f>
        <v>52.5</v>
      </c>
      <c r="G883" s="12">
        <f t="shared" ref="G883:H883" si="515">SUM(G884)</f>
        <v>0</v>
      </c>
      <c r="H883" s="12">
        <f t="shared" si="515"/>
        <v>0</v>
      </c>
    </row>
    <row r="884" spans="1:8" x14ac:dyDescent="0.25">
      <c r="A884" s="19">
        <f t="shared" si="502"/>
        <v>873</v>
      </c>
      <c r="B884" s="10" t="s">
        <v>137</v>
      </c>
      <c r="C884" s="11" t="s">
        <v>709</v>
      </c>
      <c r="D884" s="11" t="s">
        <v>720</v>
      </c>
      <c r="E884" s="11" t="s">
        <v>138</v>
      </c>
      <c r="F884" s="12">
        <v>52.5</v>
      </c>
      <c r="G884" s="12">
        <v>0</v>
      </c>
      <c r="H884" s="12">
        <v>0</v>
      </c>
    </row>
    <row r="885" spans="1:8" x14ac:dyDescent="0.25">
      <c r="A885" s="18">
        <f t="shared" si="502"/>
        <v>874</v>
      </c>
      <c r="B885" s="14" t="s">
        <v>721</v>
      </c>
      <c r="C885" s="15" t="s">
        <v>722</v>
      </c>
      <c r="D885" s="15"/>
      <c r="E885" s="15"/>
      <c r="F885" s="16">
        <f>SUM(F886+F890)</f>
        <v>30134.659999999996</v>
      </c>
      <c r="G885" s="16">
        <f t="shared" ref="G885:H885" si="516">SUM(G886+G890)</f>
        <v>32476.409999999996</v>
      </c>
      <c r="H885" s="16">
        <f t="shared" si="516"/>
        <v>34248.379999999997</v>
      </c>
    </row>
    <row r="886" spans="1:8" ht="54" x14ac:dyDescent="0.25">
      <c r="A886" s="19">
        <f t="shared" si="502"/>
        <v>875</v>
      </c>
      <c r="B886" s="10" t="s">
        <v>469</v>
      </c>
      <c r="C886" s="11" t="s">
        <v>722</v>
      </c>
      <c r="D886" s="11" t="s">
        <v>470</v>
      </c>
      <c r="E886" s="11"/>
      <c r="F886" s="12">
        <f>SUM(F887)</f>
        <v>11513.06</v>
      </c>
      <c r="G886" s="12">
        <f t="shared" ref="G886:H886" si="517">SUM(G887)</f>
        <v>12478.81</v>
      </c>
      <c r="H886" s="12">
        <f t="shared" si="517"/>
        <v>13887.38</v>
      </c>
    </row>
    <row r="887" spans="1:8" ht="72" x14ac:dyDescent="0.25">
      <c r="A887" s="19">
        <f t="shared" si="502"/>
        <v>876</v>
      </c>
      <c r="B887" s="10" t="s">
        <v>512</v>
      </c>
      <c r="C887" s="11" t="s">
        <v>722</v>
      </c>
      <c r="D887" s="11" t="s">
        <v>513</v>
      </c>
      <c r="E887" s="11"/>
      <c r="F887" s="12">
        <f>SUM(F888)</f>
        <v>11513.06</v>
      </c>
      <c r="G887" s="12">
        <f t="shared" ref="G887:H887" si="518">SUM(G888)</f>
        <v>12478.81</v>
      </c>
      <c r="H887" s="12">
        <f t="shared" si="518"/>
        <v>13887.38</v>
      </c>
    </row>
    <row r="888" spans="1:8" ht="72" x14ac:dyDescent="0.25">
      <c r="A888" s="19">
        <f t="shared" si="502"/>
        <v>877</v>
      </c>
      <c r="B888" s="10" t="s">
        <v>520</v>
      </c>
      <c r="C888" s="11" t="s">
        <v>722</v>
      </c>
      <c r="D888" s="11" t="s">
        <v>521</v>
      </c>
      <c r="E888" s="11"/>
      <c r="F888" s="12">
        <f>SUM(F889)</f>
        <v>11513.06</v>
      </c>
      <c r="G888" s="12">
        <f t="shared" ref="G888:H888" si="519">SUM(G889)</f>
        <v>12478.81</v>
      </c>
      <c r="H888" s="12">
        <f t="shared" si="519"/>
        <v>13887.38</v>
      </c>
    </row>
    <row r="889" spans="1:8" x14ac:dyDescent="0.25">
      <c r="A889" s="19">
        <f t="shared" si="502"/>
        <v>878</v>
      </c>
      <c r="B889" s="10" t="s">
        <v>137</v>
      </c>
      <c r="C889" s="11" t="s">
        <v>722</v>
      </c>
      <c r="D889" s="11" t="s">
        <v>521</v>
      </c>
      <c r="E889" s="11" t="s">
        <v>138</v>
      </c>
      <c r="F889" s="12">
        <v>11513.06</v>
      </c>
      <c r="G889" s="12">
        <v>12478.81</v>
      </c>
      <c r="H889" s="12">
        <v>13887.38</v>
      </c>
    </row>
    <row r="890" spans="1:8" ht="72" x14ac:dyDescent="0.25">
      <c r="A890" s="19">
        <f t="shared" si="502"/>
        <v>879</v>
      </c>
      <c r="B890" s="10" t="s">
        <v>544</v>
      </c>
      <c r="C890" s="11" t="s">
        <v>722</v>
      </c>
      <c r="D890" s="11" t="s">
        <v>545</v>
      </c>
      <c r="E890" s="11"/>
      <c r="F890" s="12">
        <f>SUM(F891)</f>
        <v>18621.599999999999</v>
      </c>
      <c r="G890" s="12">
        <f t="shared" ref="G890:H890" si="520">SUM(G891)</f>
        <v>19997.599999999999</v>
      </c>
      <c r="H890" s="12">
        <f t="shared" si="520"/>
        <v>20361</v>
      </c>
    </row>
    <row r="891" spans="1:8" ht="54" x14ac:dyDescent="0.25">
      <c r="A891" s="19">
        <f t="shared" si="502"/>
        <v>880</v>
      </c>
      <c r="B891" s="10" t="s">
        <v>700</v>
      </c>
      <c r="C891" s="11" t="s">
        <v>722</v>
      </c>
      <c r="D891" s="11" t="s">
        <v>701</v>
      </c>
      <c r="E891" s="11"/>
      <c r="F891" s="12">
        <v>18621.599999999999</v>
      </c>
      <c r="G891" s="12">
        <v>19997.599999999999</v>
      </c>
      <c r="H891" s="12">
        <v>20361</v>
      </c>
    </row>
    <row r="892" spans="1:8" ht="90" x14ac:dyDescent="0.25">
      <c r="A892" s="19">
        <f t="shared" si="502"/>
        <v>881</v>
      </c>
      <c r="B892" s="10" t="s">
        <v>702</v>
      </c>
      <c r="C892" s="11" t="s">
        <v>722</v>
      </c>
      <c r="D892" s="11" t="s">
        <v>703</v>
      </c>
      <c r="E892" s="11"/>
      <c r="F892" s="12">
        <f>SUM(F893)</f>
        <v>18621.599999999999</v>
      </c>
      <c r="G892" s="12">
        <f t="shared" ref="G892:H892" si="521">SUM(G893)</f>
        <v>19997.599999999999</v>
      </c>
      <c r="H892" s="12">
        <f t="shared" si="521"/>
        <v>20361</v>
      </c>
    </row>
    <row r="893" spans="1:8" x14ac:dyDescent="0.25">
      <c r="A893" s="19">
        <f t="shared" si="502"/>
        <v>882</v>
      </c>
      <c r="B893" s="10" t="s">
        <v>143</v>
      </c>
      <c r="C893" s="11" t="s">
        <v>722</v>
      </c>
      <c r="D893" s="11" t="s">
        <v>703</v>
      </c>
      <c r="E893" s="11" t="s">
        <v>144</v>
      </c>
      <c r="F893" s="12">
        <v>18621.599999999999</v>
      </c>
      <c r="G893" s="12">
        <v>19997.599999999999</v>
      </c>
      <c r="H893" s="12">
        <v>20361</v>
      </c>
    </row>
    <row r="894" spans="1:8" ht="36" x14ac:dyDescent="0.25">
      <c r="A894" s="18">
        <f t="shared" si="502"/>
        <v>883</v>
      </c>
      <c r="B894" s="14" t="s">
        <v>723</v>
      </c>
      <c r="C894" s="15" t="s">
        <v>724</v>
      </c>
      <c r="D894" s="15"/>
      <c r="E894" s="15"/>
      <c r="F894" s="16">
        <f>SUM(F895+F902+F907)</f>
        <v>4550.42</v>
      </c>
      <c r="G894" s="16">
        <f t="shared" ref="G894:H894" si="522">SUM(G895+G902+G907)</f>
        <v>4155.6499999999996</v>
      </c>
      <c r="H894" s="16">
        <f t="shared" si="522"/>
        <v>4286.5599999999995</v>
      </c>
    </row>
    <row r="895" spans="1:8" x14ac:dyDescent="0.25">
      <c r="A895" s="18">
        <f t="shared" si="502"/>
        <v>884</v>
      </c>
      <c r="B895" s="14" t="s">
        <v>725</v>
      </c>
      <c r="C895" s="15" t="s">
        <v>726</v>
      </c>
      <c r="D895" s="15"/>
      <c r="E895" s="15"/>
      <c r="F895" s="16">
        <f>SUM(F896)</f>
        <v>3748.17</v>
      </c>
      <c r="G895" s="16">
        <f t="shared" ref="G895:H895" si="523">SUM(G896)</f>
        <v>3349.95</v>
      </c>
      <c r="H895" s="16">
        <f t="shared" si="523"/>
        <v>3466.89</v>
      </c>
    </row>
    <row r="896" spans="1:8" ht="54" x14ac:dyDescent="0.25">
      <c r="A896" s="19">
        <f t="shared" si="502"/>
        <v>885</v>
      </c>
      <c r="B896" s="10" t="s">
        <v>103</v>
      </c>
      <c r="C896" s="11" t="s">
        <v>726</v>
      </c>
      <c r="D896" s="11" t="s">
        <v>104</v>
      </c>
      <c r="E896" s="11"/>
      <c r="F896" s="12">
        <f>SUM(F897)</f>
        <v>3748.17</v>
      </c>
      <c r="G896" s="12">
        <f t="shared" ref="G896:H896" si="524">SUM(G897)</f>
        <v>3349.95</v>
      </c>
      <c r="H896" s="12">
        <f t="shared" si="524"/>
        <v>3466.89</v>
      </c>
    </row>
    <row r="897" spans="1:8" ht="36" x14ac:dyDescent="0.25">
      <c r="A897" s="19">
        <f t="shared" si="502"/>
        <v>886</v>
      </c>
      <c r="B897" s="10" t="s">
        <v>258</v>
      </c>
      <c r="C897" s="11" t="s">
        <v>726</v>
      </c>
      <c r="D897" s="11" t="s">
        <v>259</v>
      </c>
      <c r="E897" s="11"/>
      <c r="F897" s="12">
        <f>SUM(F898+F900)</f>
        <v>3748.17</v>
      </c>
      <c r="G897" s="12">
        <f t="shared" ref="G897:H897" si="525">SUM(G898+G900)</f>
        <v>3349.95</v>
      </c>
      <c r="H897" s="12">
        <f t="shared" si="525"/>
        <v>3466.89</v>
      </c>
    </row>
    <row r="898" spans="1:8" ht="54" x14ac:dyDescent="0.25">
      <c r="A898" s="19">
        <f t="shared" si="502"/>
        <v>887</v>
      </c>
      <c r="B898" s="10" t="s">
        <v>262</v>
      </c>
      <c r="C898" s="11" t="s">
        <v>726</v>
      </c>
      <c r="D898" s="11" t="s">
        <v>263</v>
      </c>
      <c r="E898" s="11"/>
      <c r="F898" s="12">
        <f>SUM(F899)</f>
        <v>500</v>
      </c>
      <c r="G898" s="12">
        <f t="shared" ref="G898:H898" si="526">SUM(G899)</f>
        <v>0</v>
      </c>
      <c r="H898" s="12">
        <f t="shared" si="526"/>
        <v>0</v>
      </c>
    </row>
    <row r="899" spans="1:8" x14ac:dyDescent="0.25">
      <c r="A899" s="19">
        <f t="shared" si="497"/>
        <v>888</v>
      </c>
      <c r="B899" s="10" t="s">
        <v>143</v>
      </c>
      <c r="C899" s="11" t="s">
        <v>726</v>
      </c>
      <c r="D899" s="11" t="s">
        <v>263</v>
      </c>
      <c r="E899" s="11" t="s">
        <v>144</v>
      </c>
      <c r="F899" s="12">
        <v>500</v>
      </c>
      <c r="G899" s="12">
        <v>0</v>
      </c>
      <c r="H899" s="12">
        <v>0</v>
      </c>
    </row>
    <row r="900" spans="1:8" ht="54" x14ac:dyDescent="0.25">
      <c r="A900" s="19">
        <f t="shared" si="497"/>
        <v>889</v>
      </c>
      <c r="B900" s="10" t="s">
        <v>727</v>
      </c>
      <c r="C900" s="11" t="s">
        <v>726</v>
      </c>
      <c r="D900" s="11" t="s">
        <v>728</v>
      </c>
      <c r="E900" s="11"/>
      <c r="F900" s="12">
        <f>SUM(F901)</f>
        <v>3248.17</v>
      </c>
      <c r="G900" s="12">
        <f t="shared" ref="G900:H900" si="527">SUM(G901)</f>
        <v>3349.95</v>
      </c>
      <c r="H900" s="12">
        <f t="shared" si="527"/>
        <v>3466.89</v>
      </c>
    </row>
    <row r="901" spans="1:8" x14ac:dyDescent="0.25">
      <c r="A901" s="19">
        <f t="shared" si="497"/>
        <v>890</v>
      </c>
      <c r="B901" s="10" t="s">
        <v>143</v>
      </c>
      <c r="C901" s="11" t="s">
        <v>726</v>
      </c>
      <c r="D901" s="11" t="s">
        <v>728</v>
      </c>
      <c r="E901" s="11" t="s">
        <v>144</v>
      </c>
      <c r="F901" s="12">
        <v>3248.17</v>
      </c>
      <c r="G901" s="12">
        <v>3349.95</v>
      </c>
      <c r="H901" s="12">
        <v>3466.89</v>
      </c>
    </row>
    <row r="902" spans="1:8" x14ac:dyDescent="0.25">
      <c r="A902" s="18">
        <f t="shared" si="497"/>
        <v>891</v>
      </c>
      <c r="B902" s="14" t="s">
        <v>729</v>
      </c>
      <c r="C902" s="15" t="s">
        <v>730</v>
      </c>
      <c r="D902" s="15"/>
      <c r="E902" s="15"/>
      <c r="F902" s="16">
        <f>SUM(F903)</f>
        <v>502.25</v>
      </c>
      <c r="G902" s="16">
        <f t="shared" ref="G902:H902" si="528">SUM(G903)</f>
        <v>505.7</v>
      </c>
      <c r="H902" s="16">
        <f t="shared" si="528"/>
        <v>519.66999999999996</v>
      </c>
    </row>
    <row r="903" spans="1:8" ht="54" x14ac:dyDescent="0.25">
      <c r="A903" s="19">
        <f t="shared" si="497"/>
        <v>892</v>
      </c>
      <c r="B903" s="10" t="s">
        <v>103</v>
      </c>
      <c r="C903" s="11" t="s">
        <v>730</v>
      </c>
      <c r="D903" s="11" t="s">
        <v>104</v>
      </c>
      <c r="E903" s="11"/>
      <c r="F903" s="12">
        <f>SUM(F904)</f>
        <v>502.25</v>
      </c>
      <c r="G903" s="12">
        <f t="shared" ref="G903:H903" si="529">SUM(G904)</f>
        <v>505.7</v>
      </c>
      <c r="H903" s="12">
        <f t="shared" si="529"/>
        <v>519.66999999999996</v>
      </c>
    </row>
    <row r="904" spans="1:8" ht="36" x14ac:dyDescent="0.25">
      <c r="A904" s="19">
        <f t="shared" si="497"/>
        <v>893</v>
      </c>
      <c r="B904" s="10" t="s">
        <v>258</v>
      </c>
      <c r="C904" s="11" t="s">
        <v>730</v>
      </c>
      <c r="D904" s="11" t="s">
        <v>259</v>
      </c>
      <c r="E904" s="11"/>
      <c r="F904" s="12">
        <f>SUM(F905)</f>
        <v>502.25</v>
      </c>
      <c r="G904" s="12">
        <f t="shared" ref="G904:H904" si="530">SUM(G905)</f>
        <v>505.7</v>
      </c>
      <c r="H904" s="12">
        <f t="shared" si="530"/>
        <v>519.66999999999996</v>
      </c>
    </row>
    <row r="905" spans="1:8" ht="54" x14ac:dyDescent="0.25">
      <c r="A905" s="19">
        <f t="shared" si="497"/>
        <v>894</v>
      </c>
      <c r="B905" s="10" t="s">
        <v>727</v>
      </c>
      <c r="C905" s="11" t="s">
        <v>730</v>
      </c>
      <c r="D905" s="11" t="s">
        <v>728</v>
      </c>
      <c r="E905" s="11"/>
      <c r="F905" s="12">
        <f>SUM(F906)</f>
        <v>502.25</v>
      </c>
      <c r="G905" s="12">
        <f t="shared" ref="G905:H905" si="531">SUM(G906)</f>
        <v>505.7</v>
      </c>
      <c r="H905" s="12">
        <f t="shared" si="531"/>
        <v>519.66999999999996</v>
      </c>
    </row>
    <row r="906" spans="1:8" x14ac:dyDescent="0.25">
      <c r="A906" s="19">
        <f t="shared" si="502"/>
        <v>895</v>
      </c>
      <c r="B906" s="10" t="s">
        <v>143</v>
      </c>
      <c r="C906" s="11" t="s">
        <v>730</v>
      </c>
      <c r="D906" s="11" t="s">
        <v>728</v>
      </c>
      <c r="E906" s="11" t="s">
        <v>144</v>
      </c>
      <c r="F906" s="12">
        <v>502.25</v>
      </c>
      <c r="G906" s="12">
        <v>505.7</v>
      </c>
      <c r="H906" s="12">
        <v>519.66999999999996</v>
      </c>
    </row>
    <row r="907" spans="1:8" ht="36" x14ac:dyDescent="0.25">
      <c r="A907" s="18">
        <f t="shared" si="502"/>
        <v>896</v>
      </c>
      <c r="B907" s="14" t="s">
        <v>731</v>
      </c>
      <c r="C907" s="15" t="s">
        <v>732</v>
      </c>
      <c r="D907" s="15"/>
      <c r="E907" s="15"/>
      <c r="F907" s="16">
        <f>SUM(F908)</f>
        <v>300</v>
      </c>
      <c r="G907" s="16">
        <f t="shared" ref="G907:H907" si="532">SUM(G908)</f>
        <v>300</v>
      </c>
      <c r="H907" s="16">
        <f t="shared" si="532"/>
        <v>300</v>
      </c>
    </row>
    <row r="908" spans="1:8" ht="54" x14ac:dyDescent="0.25">
      <c r="A908" s="19">
        <f t="shared" si="502"/>
        <v>897</v>
      </c>
      <c r="B908" s="10" t="s">
        <v>103</v>
      </c>
      <c r="C908" s="11" t="s">
        <v>732</v>
      </c>
      <c r="D908" s="11" t="s">
        <v>104</v>
      </c>
      <c r="E908" s="11"/>
      <c r="F908" s="12">
        <f>SUM(F909)</f>
        <v>300</v>
      </c>
      <c r="G908" s="12">
        <f t="shared" ref="G908:H908" si="533">SUM(G909)</f>
        <v>300</v>
      </c>
      <c r="H908" s="12">
        <f t="shared" si="533"/>
        <v>300</v>
      </c>
    </row>
    <row r="909" spans="1:8" ht="36" x14ac:dyDescent="0.25">
      <c r="A909" s="19">
        <f t="shared" si="502"/>
        <v>898</v>
      </c>
      <c r="B909" s="10" t="s">
        <v>258</v>
      </c>
      <c r="C909" s="11" t="s">
        <v>732</v>
      </c>
      <c r="D909" s="11" t="s">
        <v>259</v>
      </c>
      <c r="E909" s="11"/>
      <c r="F909" s="12">
        <f>SUM(F910)</f>
        <v>300</v>
      </c>
      <c r="G909" s="12">
        <f t="shared" ref="G909:H909" si="534">SUM(G910)</f>
        <v>300</v>
      </c>
      <c r="H909" s="12">
        <f t="shared" si="534"/>
        <v>300</v>
      </c>
    </row>
    <row r="910" spans="1:8" ht="144" x14ac:dyDescent="0.25">
      <c r="A910" s="19">
        <f t="shared" si="502"/>
        <v>899</v>
      </c>
      <c r="B910" s="10" t="s">
        <v>733</v>
      </c>
      <c r="C910" s="11" t="s">
        <v>732</v>
      </c>
      <c r="D910" s="11" t="s">
        <v>734</v>
      </c>
      <c r="E910" s="11"/>
      <c r="F910" s="12">
        <f>SUM(F911)</f>
        <v>300</v>
      </c>
      <c r="G910" s="12">
        <f t="shared" ref="G910:H910" si="535">SUM(G911)</f>
        <v>300</v>
      </c>
      <c r="H910" s="12">
        <f t="shared" si="535"/>
        <v>300</v>
      </c>
    </row>
    <row r="911" spans="1:8" ht="54" x14ac:dyDescent="0.25">
      <c r="A911" s="19">
        <f t="shared" si="502"/>
        <v>900</v>
      </c>
      <c r="B911" s="10" t="s">
        <v>28</v>
      </c>
      <c r="C911" s="11" t="s">
        <v>732</v>
      </c>
      <c r="D911" s="11" t="s">
        <v>734</v>
      </c>
      <c r="E911" s="11" t="s">
        <v>29</v>
      </c>
      <c r="F911" s="12">
        <v>300</v>
      </c>
      <c r="G911" s="12">
        <v>300</v>
      </c>
      <c r="H911" s="12">
        <v>300</v>
      </c>
    </row>
    <row r="912" spans="1:8" ht="54" x14ac:dyDescent="0.25">
      <c r="A912" s="18">
        <f t="shared" si="502"/>
        <v>901</v>
      </c>
      <c r="B912" s="14" t="s">
        <v>735</v>
      </c>
      <c r="C912" s="15" t="s">
        <v>736</v>
      </c>
      <c r="D912" s="15"/>
      <c r="E912" s="15"/>
      <c r="F912" s="16">
        <f>SUM(F913)</f>
        <v>1.44</v>
      </c>
      <c r="G912" s="16">
        <f t="shared" ref="G912:H912" si="536">SUM(G913)</f>
        <v>0.87</v>
      </c>
      <c r="H912" s="16">
        <f t="shared" si="536"/>
        <v>0.3</v>
      </c>
    </row>
    <row r="913" spans="1:8" ht="36" x14ac:dyDescent="0.25">
      <c r="A913" s="18">
        <f t="shared" si="502"/>
        <v>902</v>
      </c>
      <c r="B913" s="14" t="s">
        <v>737</v>
      </c>
      <c r="C913" s="15" t="s">
        <v>738</v>
      </c>
      <c r="D913" s="15"/>
      <c r="E913" s="15"/>
      <c r="F913" s="16">
        <f>SUM(F914)</f>
        <v>1.44</v>
      </c>
      <c r="G913" s="16">
        <f t="shared" ref="G913:H913" si="537">SUM(G914)</f>
        <v>0.87</v>
      </c>
      <c r="H913" s="16">
        <f t="shared" si="537"/>
        <v>0.3</v>
      </c>
    </row>
    <row r="914" spans="1:8" ht="54" x14ac:dyDescent="0.25">
      <c r="A914" s="19">
        <f t="shared" si="502"/>
        <v>903</v>
      </c>
      <c r="B914" s="10" t="s">
        <v>48</v>
      </c>
      <c r="C914" s="11" t="s">
        <v>738</v>
      </c>
      <c r="D914" s="11" t="s">
        <v>49</v>
      </c>
      <c r="E914" s="11"/>
      <c r="F914" s="12">
        <f>SUM(F915)</f>
        <v>1.44</v>
      </c>
      <c r="G914" s="12">
        <f t="shared" ref="G914:H914" si="538">SUM(G915)</f>
        <v>0.87</v>
      </c>
      <c r="H914" s="12">
        <f t="shared" si="538"/>
        <v>0.3</v>
      </c>
    </row>
    <row r="915" spans="1:8" ht="36" x14ac:dyDescent="0.25">
      <c r="A915" s="19">
        <f t="shared" si="502"/>
        <v>904</v>
      </c>
      <c r="B915" s="10" t="s">
        <v>739</v>
      </c>
      <c r="C915" s="11" t="s">
        <v>738</v>
      </c>
      <c r="D915" s="11" t="s">
        <v>740</v>
      </c>
      <c r="E915" s="11"/>
      <c r="F915" s="12">
        <f>SUM(F916)</f>
        <v>1.44</v>
      </c>
      <c r="G915" s="12">
        <f t="shared" ref="G915:H915" si="539">SUM(G916)</f>
        <v>0.87</v>
      </c>
      <c r="H915" s="12">
        <f t="shared" si="539"/>
        <v>0.3</v>
      </c>
    </row>
    <row r="916" spans="1:8" ht="111.75" customHeight="1" x14ac:dyDescent="0.25">
      <c r="A916" s="19">
        <f t="shared" si="502"/>
        <v>905</v>
      </c>
      <c r="B916" s="10" t="s">
        <v>741</v>
      </c>
      <c r="C916" s="11" t="s">
        <v>738</v>
      </c>
      <c r="D916" s="11" t="s">
        <v>742</v>
      </c>
      <c r="E916" s="11"/>
      <c r="F916" s="12">
        <f>SUM(F917)</f>
        <v>1.44</v>
      </c>
      <c r="G916" s="12">
        <f t="shared" ref="G916:H916" si="540">SUM(G917)</f>
        <v>0.87</v>
      </c>
      <c r="H916" s="12">
        <f t="shared" si="540"/>
        <v>0.3</v>
      </c>
    </row>
    <row r="917" spans="1:8" x14ac:dyDescent="0.25">
      <c r="A917" s="19">
        <f t="shared" si="502"/>
        <v>906</v>
      </c>
      <c r="B917" s="10" t="s">
        <v>743</v>
      </c>
      <c r="C917" s="11" t="s">
        <v>738</v>
      </c>
      <c r="D917" s="11" t="s">
        <v>742</v>
      </c>
      <c r="E917" s="11" t="s">
        <v>744</v>
      </c>
      <c r="F917" s="12">
        <v>1.44</v>
      </c>
      <c r="G917" s="12">
        <v>0.87</v>
      </c>
      <c r="H917" s="12">
        <v>0.3</v>
      </c>
    </row>
    <row r="918" spans="1:8" s="20" customFormat="1" x14ac:dyDescent="0.25">
      <c r="A918" s="18">
        <f t="shared" si="502"/>
        <v>907</v>
      </c>
      <c r="B918" s="34" t="s">
        <v>745</v>
      </c>
      <c r="C918" s="35"/>
      <c r="D918" s="35"/>
      <c r="E918" s="36"/>
      <c r="F918" s="1">
        <f>SUM(F11+F127+F197+F318+F488+F512+F708+F763+F771+F845+F894+F912)</f>
        <v>3274300.4299999997</v>
      </c>
      <c r="G918" s="1">
        <f>SUM(G11+G127+G197+G318+G488+G512+G708+G763+G771+G845+G894+G912)</f>
        <v>2770411.27</v>
      </c>
      <c r="H918" s="1">
        <f>SUM(H11+H127+H197+H318+H488+H512+H708+H763+H771+H845+H894+H912)</f>
        <v>2696961.25</v>
      </c>
    </row>
    <row r="920" spans="1:8" x14ac:dyDescent="0.25">
      <c r="G920" s="33"/>
    </row>
  </sheetData>
  <autoFilter ref="A10:H918"/>
  <mergeCells count="12">
    <mergeCell ref="B918:E918"/>
    <mergeCell ref="D3:H3"/>
    <mergeCell ref="D4:H4"/>
    <mergeCell ref="D2:H2"/>
    <mergeCell ref="D1:H1"/>
    <mergeCell ref="A6:H6"/>
    <mergeCell ref="A8:A9"/>
    <mergeCell ref="F8:H8"/>
    <mergeCell ref="B8:B9"/>
    <mergeCell ref="C8:C9"/>
    <mergeCell ref="D8:D9"/>
    <mergeCell ref="E8:E9"/>
  </mergeCells>
  <pageMargins left="0.78740157480314965" right="0.78740157480314965" top="1.1811023622047245" bottom="0.39370078740157483" header="0.31496062992125984" footer="0.31496062992125984"/>
  <pageSetup paperSize="9" scale="88" firstPageNumber="21" fitToHeight="130" orientation="landscape" useFirstPageNumber="1" r:id="rId1"/>
  <headerFooter>
    <oddHeader>&amp;C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I21"/>
  <sheetViews>
    <sheetView workbookViewId="0">
      <selection activeCell="A12" sqref="A12:XFD12"/>
    </sheetView>
  </sheetViews>
  <sheetFormatPr defaultRowHeight="15" x14ac:dyDescent="0.25"/>
  <cols>
    <col min="6" max="6" width="9.28515625" bestFit="1" customWidth="1"/>
    <col min="7" max="7" width="20.7109375" customWidth="1"/>
    <col min="8" max="8" width="18" customWidth="1"/>
    <col min="9" max="9" width="18.7109375" customWidth="1"/>
  </cols>
  <sheetData>
    <row r="2" spans="6:9" ht="18" x14ac:dyDescent="0.25">
      <c r="F2" s="21"/>
      <c r="G2" s="21">
        <v>2024</v>
      </c>
      <c r="H2" s="21">
        <v>2025</v>
      </c>
      <c r="I2" s="21">
        <v>2026</v>
      </c>
    </row>
    <row r="3" spans="6:9" ht="18" x14ac:dyDescent="0.25">
      <c r="F3" s="22" t="s">
        <v>761</v>
      </c>
      <c r="G3" s="23">
        <f>'Приложение №4'!F13+'Приложение №4'!F36+'Приложение №4'!F53+'Приложение №4'!F91</f>
        <v>124984.07</v>
      </c>
      <c r="H3" s="23">
        <f>'Приложение №4'!G13+'Приложение №4'!G36+'Приложение №4'!G53+'Приложение №4'!G91</f>
        <v>127836.22000000002</v>
      </c>
      <c r="I3" s="23">
        <f>'Приложение №4'!H13+'Приложение №4'!H36+'Приложение №4'!H53+'Приложение №4'!H91</f>
        <v>132539.29</v>
      </c>
    </row>
    <row r="4" spans="6:9" ht="18" x14ac:dyDescent="0.25">
      <c r="F4" s="22" t="s">
        <v>762</v>
      </c>
      <c r="G4" s="23">
        <f>'Приложение №4'!F129+'Приложение №4'!F138+'Приложение №4'!F218</f>
        <v>43420.679999999993</v>
      </c>
      <c r="H4" s="23">
        <f>'Приложение №4'!G129+'Приложение №4'!G138+'Приложение №4'!G218</f>
        <v>43363.789999999994</v>
      </c>
      <c r="I4" s="23">
        <f>'Приложение №4'!H129+'Приложение №4'!H138+'Приложение №4'!H218</f>
        <v>43795.869999999995</v>
      </c>
    </row>
    <row r="5" spans="6:9" ht="18" x14ac:dyDescent="0.25">
      <c r="F5" s="22" t="s">
        <v>763</v>
      </c>
      <c r="G5" s="23">
        <f>'Приложение №4'!F279+'Приложение №4'!F320+'Приложение №4'!F350+'Приложение №4'!F541</f>
        <v>227173.37000000002</v>
      </c>
      <c r="H5" s="23">
        <f>'Приложение №4'!G279+'Приложение №4'!G320+'Приложение №4'!G350+'Приложение №4'!G541</f>
        <v>33441.99</v>
      </c>
      <c r="I5" s="23">
        <f>'Приложение №4'!H279+'Приложение №4'!H320+'Приложение №4'!H350+'Приложение №4'!H541</f>
        <v>8066.5</v>
      </c>
    </row>
    <row r="6" spans="6:9" ht="18" x14ac:dyDescent="0.25">
      <c r="F6" s="22" t="s">
        <v>764</v>
      </c>
      <c r="G6" s="23">
        <f>'Приложение №4'!F228+'Приложение №4'!F235</f>
        <v>316974.72000000003</v>
      </c>
      <c r="H6" s="23">
        <f>'Приложение №4'!G228+'Приложение №4'!G235</f>
        <v>95877.900000000009</v>
      </c>
      <c r="I6" s="23">
        <f>'Приложение №4'!H228+'Приложение №4'!H235</f>
        <v>65462.1</v>
      </c>
    </row>
    <row r="7" spans="6:9" ht="18" x14ac:dyDescent="0.25">
      <c r="F7" s="22" t="s">
        <v>765</v>
      </c>
      <c r="G7" s="23">
        <f>'Приложение №4'!F199+'Приложение №4'!F337+'Приложение №4'!F363+'Приложение №4'!F418+'Приложение №4'!F465+'Приложение №4'!F490+'Приложение №4'!F495+'Приложение №4'!F504</f>
        <v>289543.37</v>
      </c>
      <c r="H7" s="23">
        <f>'Приложение №4'!G199+'Приложение №4'!G337+'Приложение №4'!G363+'Приложение №4'!G418+'Приложение №4'!G465+'Приложение №4'!G490+'Приложение №4'!G495+'Приложение №4'!G504</f>
        <v>428448.09</v>
      </c>
      <c r="I7" s="23">
        <f>'Приложение №4'!H199+'Приложение №4'!H337+'Приложение №4'!H363+'Приложение №4'!H418+'Приложение №4'!H465+'Приложение №4'!H490+'Приложение №4'!H495+'Приложение №4'!H504</f>
        <v>226717.55000000002</v>
      </c>
    </row>
    <row r="8" spans="6:9" ht="18" x14ac:dyDescent="0.25">
      <c r="F8" s="22" t="s">
        <v>766</v>
      </c>
      <c r="G8" s="23">
        <f>SUM('Приложение №4'!F104+'Приложение №4'!F207+'Приложение №4'!F223+'Приложение №4'!F285+'Приложение №4'!F710+'Приложение №4'!F810+'Приложение №4'!F665)</f>
        <v>46718.04</v>
      </c>
      <c r="H8" s="23">
        <f>SUM('Приложение №4'!G104+'Приложение №4'!G207+'Приложение №4'!G223+'Приложение №4'!G285+'Приложение №4'!G710+'Приложение №4'!G810+'Приложение №4'!G665)</f>
        <v>10801.51</v>
      </c>
      <c r="I8" s="23">
        <f>SUM('Приложение №4'!H104+'Приложение №4'!H207+'Приложение №4'!H223+'Приложение №4'!H285+'Приложение №4'!H710+'Приложение №4'!H810+'Приложение №4'!H665)</f>
        <v>6787.0599999999995</v>
      </c>
    </row>
    <row r="9" spans="6:9" ht="18" x14ac:dyDescent="0.25">
      <c r="F9" s="22" t="s">
        <v>767</v>
      </c>
      <c r="G9" s="23">
        <f>'Приложение №4'!F514+'Приложение №4'!F545+'Приложение №4'!F593+'Приложение №4'!F669+'Приложение №4'!F714+'Приложение №4'!F819+'Приложение №4'!F847+'Приложение №4'!F886</f>
        <v>1492602.3800000001</v>
      </c>
      <c r="H9" s="23">
        <f>'Приложение №4'!G514+'Приложение №4'!G545+'Приложение №4'!G593+'Приложение №4'!G669+'Приложение №4'!G714+'Приложение №4'!G819+'Приложение №4'!G847+'Приложение №4'!G886</f>
        <v>1435155.4099999997</v>
      </c>
      <c r="I9" s="23">
        <f>'Приложение №4'!H514+'Приложение №4'!H545+'Приложение №4'!H593+'Приложение №4'!H669+'Приложение №4'!H714+'Приложение №4'!H819+'Приложение №4'!H847+'Приложение №4'!H886</f>
        <v>1516119.87</v>
      </c>
    </row>
    <row r="10" spans="6:9" ht="18" x14ac:dyDescent="0.25">
      <c r="F10" s="22" t="s">
        <v>768</v>
      </c>
      <c r="G10" s="23">
        <f>'Приложение №4'!F300+'Приложение №4'!F607+'Приложение №4'!F718+'Приложение №4'!F758</f>
        <v>219732.05</v>
      </c>
      <c r="H10" s="23">
        <f>'Приложение №4'!G300+'Приложение №4'!G607+'Приложение №4'!G718+'Приложение №4'!G758</f>
        <v>219955.47</v>
      </c>
      <c r="I10" s="23">
        <f>'Приложение №4'!H300+'Приложение №4'!H607+'Приложение №4'!H718+'Приложение №4'!H758</f>
        <v>223955.53000000003</v>
      </c>
    </row>
    <row r="11" spans="6:9" ht="18" x14ac:dyDescent="0.25">
      <c r="F11" s="22" t="s">
        <v>769</v>
      </c>
      <c r="G11" s="23">
        <f>'Приложение №4'!F118+'Приложение №4'!F172+'Приложение №4'!F272+'Приложение №4'!F535+'Приложение №4'!F584+'Приложение №4'!F617+'Приложение №4'!F625+'Приложение №4'!F765+'Приложение №4'!F896+'Приложение №4'!F903+'Приложение №4'!F908</f>
        <v>22276.879999999997</v>
      </c>
      <c r="H11" s="23">
        <f>'Приложение №4'!G118+'Приложение №4'!G172+'Приложение №4'!G272+'Приложение №4'!G535+'Приложение №4'!G584+'Приложение №4'!G617+'Приложение №4'!G625+'Приложение №4'!G765+'Приложение №4'!G896+'Приложение №4'!G903+'Приложение №4'!G908</f>
        <v>8774.15</v>
      </c>
      <c r="I11" s="23">
        <f>'Приложение №4'!H118+'Приложение №4'!H172+'Приложение №4'!H272+'Приложение №4'!H535+'Приложение №4'!H584+'Приложение №4'!H617+'Приложение №4'!H625+'Приложение №4'!H765+'Приложение №4'!H896+'Приложение №4'!H903+'Приложение №4'!H908</f>
        <v>8905.06</v>
      </c>
    </row>
    <row r="12" spans="6:9" ht="18" x14ac:dyDescent="0.25">
      <c r="F12" s="22" t="s">
        <v>770</v>
      </c>
      <c r="G12" s="23">
        <f>'Приложение №4'!F773+'Приложение №4'!F784+'Приложение №4'!F826</f>
        <v>142458.22</v>
      </c>
      <c r="H12" s="23">
        <f>'Приложение №4'!G773+'Приложение №4'!G784+'Приложение №4'!G826</f>
        <v>147018.65999999997</v>
      </c>
      <c r="I12" s="23">
        <f>'Приложение №4'!H773+'Приложение №4'!H784+'Приложение №4'!H826</f>
        <v>152649.68</v>
      </c>
    </row>
    <row r="13" spans="6:9" ht="18" x14ac:dyDescent="0.25">
      <c r="F13" s="22" t="s">
        <v>771</v>
      </c>
      <c r="G13" s="23">
        <f>'Приложение №4'!F633+'Приложение №4'!F856+'Приложение №4'!F873+'Приложение №4'!F890</f>
        <v>145808.22</v>
      </c>
      <c r="H13" s="23">
        <f>'Приложение №4'!G633+'Приложение №4'!G856+'Приложение №4'!G873+'Приложение №4'!G890</f>
        <v>141241.03</v>
      </c>
      <c r="I13" s="23">
        <f>'Приложение №4'!H633+'Приложение №4'!H856+'Приложение №4'!H873+'Приложение №4'!H890</f>
        <v>144289.79</v>
      </c>
    </row>
    <row r="14" spans="6:9" ht="18" x14ac:dyDescent="0.25">
      <c r="F14" s="22" t="s">
        <v>772</v>
      </c>
      <c r="G14" s="23">
        <f>'Приложение №4'!F211+'Приложение №4'!F306+'Приложение №4'!F750+'Приложение №4'!F779+'Приложение №4'!F803+'Приложение №4'!F841+'Приложение №4'!F866</f>
        <v>8775.73</v>
      </c>
      <c r="H14" s="23">
        <f>'Приложение №4'!G211+'Приложение №4'!G306+'Приложение №4'!G750+'Приложение №4'!G779+'Приложение №4'!G803+'Приложение №4'!G841+'Приложение №4'!G866</f>
        <v>7792.09</v>
      </c>
      <c r="I14" s="23">
        <f>'Приложение №4'!H211+'Приложение №4'!H306+'Приложение №4'!H750+'Приложение №4'!H779+'Приложение №4'!H803+'Приложение №4'!H841+'Приложение №4'!H866</f>
        <v>7869.3200000000006</v>
      </c>
    </row>
    <row r="15" spans="6:9" ht="18" x14ac:dyDescent="0.25">
      <c r="F15" s="22" t="s">
        <v>773</v>
      </c>
      <c r="G15" s="23">
        <f>'Приложение №4'!F58+'Приложение №4'!F914</f>
        <v>24154.3</v>
      </c>
      <c r="H15" s="23">
        <f>'Приложение №4'!G58+'Приложение №4'!G914</f>
        <v>25000.1</v>
      </c>
      <c r="I15" s="23">
        <f>'Приложение №4'!H58+'Приложение №4'!H914</f>
        <v>25895.799999999996</v>
      </c>
    </row>
    <row r="16" spans="6:9" ht="18" x14ac:dyDescent="0.25">
      <c r="F16" s="22" t="s">
        <v>774</v>
      </c>
      <c r="G16" s="23">
        <f>'Приложение №4'!F448</f>
        <v>100030.7</v>
      </c>
      <c r="H16" s="23">
        <f>'Приложение №4'!G448</f>
        <v>21367.489999999998</v>
      </c>
      <c r="I16" s="23">
        <f>'Приложение №4'!H448</f>
        <v>109384.92</v>
      </c>
    </row>
    <row r="17" spans="6:9" ht="18" x14ac:dyDescent="0.25">
      <c r="F17" s="22" t="s">
        <v>775</v>
      </c>
      <c r="G17" s="23">
        <f>'Приложение №4'!F185+'Приложение №4'!F588+'Приложение №4'!F661+'Приложение №4'!F754+'Приложение №4'!F621</f>
        <v>285</v>
      </c>
      <c r="H17" s="23">
        <f>'Приложение №4'!G185+'Приложение №4'!G588+'Приложение №4'!G661+'Приложение №4'!G754+'Приложение №4'!G621</f>
        <v>285</v>
      </c>
      <c r="I17" s="23">
        <f>'Приложение №4'!H185+'Приложение №4'!H588+'Приложение №4'!H661+'Приложение №4'!H754+'Приложение №4'!H621</f>
        <v>285</v>
      </c>
    </row>
    <row r="18" spans="6:9" ht="18" x14ac:dyDescent="0.25">
      <c r="F18" s="22" t="s">
        <v>776</v>
      </c>
      <c r="G18" s="23">
        <f>'Приложение №4'!F190</f>
        <v>617.48</v>
      </c>
      <c r="H18" s="23">
        <f>'Приложение №4'!G190</f>
        <v>20</v>
      </c>
      <c r="I18" s="23">
        <f>'Приложение №4'!H190</f>
        <v>20</v>
      </c>
    </row>
    <row r="19" spans="6:9" ht="18" x14ac:dyDescent="0.25">
      <c r="F19" s="22" t="s">
        <v>777</v>
      </c>
      <c r="G19" s="23">
        <f>SUM(G3+G4+G5+G6+G7+G8+G9+G10+G11+G12+G13+G14+G15+G16+G17+G18)</f>
        <v>3205555.21</v>
      </c>
      <c r="H19" s="23">
        <f t="shared" ref="H19:I19" si="0">SUM(H3+H4+H5+H6+H7+H8+H9+H10+H11+H12+H13+H14+H15+H16+H17+H18)</f>
        <v>2746378.9</v>
      </c>
      <c r="I19" s="23">
        <f t="shared" si="0"/>
        <v>2672743.3400000003</v>
      </c>
    </row>
    <row r="20" spans="6:9" ht="18" x14ac:dyDescent="0.25">
      <c r="F20" s="21">
        <v>70000</v>
      </c>
      <c r="G20" s="23">
        <f>SUM('Приложение №4'!F17+'Приложение №4'!F23+'Приложение №4'!F47+'Приложение №4'!F73+'Приложение №4'!F87+'Приложение №4'!F122+'Приложение №4'!F168+'Приложение №4'!F410+'Приложение №4'!F485+'Приложение №4'!F705)</f>
        <v>68745.22</v>
      </c>
      <c r="H20" s="23">
        <f>SUM('Приложение №4'!G17+'Приложение №4'!G23+'Приложение №4'!G47+'Приложение №4'!G73+'Приложение №4'!G87+'Приложение №4'!G122+'Приложение №4'!G168+'Приложение №4'!G410+'Приложение №4'!G485+'Приложение №4'!G705)</f>
        <v>24032.37</v>
      </c>
      <c r="I20" s="23">
        <f>SUM('Приложение №4'!H17+'Приложение №4'!H23+'Приложение №4'!H47+'Приложение №4'!H73+'Приложение №4'!H87+'Приложение №4'!H122+'Приложение №4'!H168+'Приложение №4'!H410+'Приложение №4'!H485+'Приложение №4'!H705)</f>
        <v>24217.91</v>
      </c>
    </row>
    <row r="21" spans="6:9" ht="18" x14ac:dyDescent="0.25">
      <c r="F21" s="22" t="s">
        <v>778</v>
      </c>
      <c r="G21" s="23">
        <f>SUM(G19+G20)</f>
        <v>3274300.43</v>
      </c>
      <c r="H21" s="23">
        <f t="shared" ref="H21:I21" si="1">SUM(H19+H20)</f>
        <v>2770411.27</v>
      </c>
      <c r="I21" s="23">
        <f t="shared" si="1"/>
        <v>2696961.2500000005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№4</vt:lpstr>
      <vt:lpstr>Лист2</vt:lpstr>
      <vt:lpstr>Лист3</vt:lpstr>
    </vt:vector>
  </TitlesOfParts>
  <Company>finup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Исмагилова Людмила Сергеевна</dc:creator>
  <cp:lastModifiedBy>Nadegda A. Alexandrova</cp:lastModifiedBy>
  <cp:lastPrinted>2024-08-23T09:40:44Z</cp:lastPrinted>
  <dcterms:created xsi:type="dcterms:W3CDTF">2023-11-12T09:38:01Z</dcterms:created>
  <dcterms:modified xsi:type="dcterms:W3CDTF">2024-08-28T04:23:37Z</dcterms:modified>
</cp:coreProperties>
</file>